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ml.chartshapes+xml"/>
  <Override PartName="/xl/charts/chart2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ml.chartshapes+xml"/>
  <Override PartName="/xl/charts/chart24.xml" ContentType="application/vnd.openxmlformats-officedocument.drawingml.chart+xml"/>
  <Override PartName="/xl/drawings/drawing24.xml" ContentType="application/vnd.openxmlformats-officedocument.drawingml.chartshapes+xml"/>
  <Override PartName="/xl/charts/chart25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30" yWindow="-375" windowWidth="9600" windowHeight="11970" firstSheet="17" activeTab="19"/>
  </bookViews>
  <sheets>
    <sheet name="Cover" sheetId="2" r:id="rId1"/>
    <sheet name="ToC" sheetId="3" r:id="rId2"/>
    <sheet name="Group_BS" sheetId="4" r:id="rId3"/>
    <sheet name="Group_IS" sheetId="5" r:id="rId4"/>
    <sheet name="Group IS by Subsidiary" sheetId="35" r:id="rId5"/>
    <sheet name="Deposit Breakdown" sheetId="8" r:id="rId6"/>
    <sheet name="Loan Breakdown(Total Credit)" sheetId="9" r:id="rId7"/>
    <sheet name="Loan Breakdown(Loans in KRW)" sheetId="10" r:id="rId8"/>
    <sheet name="Loan Breakdown-1" sheetId="11" r:id="rId9"/>
    <sheet name="Loan Breakdown-2" sheetId="12" r:id="rId10"/>
    <sheet name="Loan Maturity2601" sheetId="13" r:id="rId11"/>
    <sheet name="NIM(Bank+Card)" sheetId="32" r:id="rId12"/>
    <sheet name="NIM(Bank)" sheetId="15" r:id="rId13"/>
    <sheet name="Asset Quality-Group" sheetId="16" r:id="rId14"/>
    <sheet name="LLP" sheetId="19" r:id="rId15"/>
    <sheet name="Asset Quality by Borrower" sheetId="17" r:id="rId16"/>
    <sheet name="Delinquency by Borrower" sheetId="20" r:id="rId17"/>
    <sheet name="Delinquency by Industry(Corp)" sheetId="21" r:id="rId18"/>
    <sheet name="Delinquency by Industry(SME)" sheetId="22" r:id="rId19"/>
    <sheet name="BIS Ratio" sheetId="24" r:id="rId20"/>
    <sheet name="Woori Card" sheetId="29" r:id="rId21"/>
    <sheet name="Card_AQ" sheetId="27" r:id="rId22"/>
  </sheets>
  <definedNames>
    <definedName name="_xlnm.Print_Area" localSheetId="15">'Asset Quality by Borrower'!$A$1:$S$27</definedName>
    <definedName name="_xlnm.Print_Area" localSheetId="13">'Asset Quality-Group'!$A$1:$W$27</definedName>
    <definedName name="_xlnm.Print_Area" localSheetId="19">'BIS Ratio'!$A$1:$J$32</definedName>
    <definedName name="_xlnm.Print_Area" localSheetId="21">Card_AQ!$A$1:$R$32</definedName>
    <definedName name="_xlnm.Print_Area" localSheetId="0">Cover!$A$1:$O$42</definedName>
    <definedName name="_xlnm.Print_Area" localSheetId="16">'Delinquency by Borrower'!$A$1:$X$18</definedName>
    <definedName name="_xlnm.Print_Area" localSheetId="17">'Delinquency by Industry(Corp)'!$A$1:$AB$31</definedName>
    <definedName name="_xlnm.Print_Area" localSheetId="18">'Delinquency by Industry(SME)'!$A$1:$W$38</definedName>
    <definedName name="_xlnm.Print_Area" localSheetId="5">'Deposit Breakdown'!$A$1:$O$31</definedName>
    <definedName name="_xlnm.Print_Area" localSheetId="4">'Group IS by Subsidiary'!$A$1:$G$28</definedName>
    <definedName name="_xlnm.Print_Area" localSheetId="2">Group_BS!$A$1:$R$33</definedName>
    <definedName name="_xlnm.Print_Area" localSheetId="3">Group_IS!$A$1:$K$29</definedName>
    <definedName name="_xlnm.Print_Area" localSheetId="14">LLP!$A$1:$O$24</definedName>
    <definedName name="_xlnm.Print_Area" localSheetId="7">'Loan Breakdown(Loans in KRW)'!$A$1:$S$32</definedName>
    <definedName name="_xlnm.Print_Area" localSheetId="6">'Loan Breakdown(Total Credit)'!$A$1:$O$29</definedName>
    <definedName name="_xlnm.Print_Area" localSheetId="8">'Loan Breakdown-1'!$A$1:$Q$35</definedName>
    <definedName name="_xlnm.Print_Area" localSheetId="9">'Loan Breakdown-2'!$A$1:$P$36</definedName>
    <definedName name="_xlnm.Print_Area" localSheetId="10">'Loan Maturity2601'!$A$1:$T$39</definedName>
    <definedName name="_xlnm.Print_Area" localSheetId="12">'NIM(Bank)'!$A$1:$X$44</definedName>
    <definedName name="_xlnm.Print_Area" localSheetId="11">'NIM(Bank+Card)'!$A$1:$M$31</definedName>
    <definedName name="_xlnm.Print_Area" localSheetId="1">ToC!$A$1:$X$30</definedName>
    <definedName name="_xlnm.Print_Area" localSheetId="20">'Woori Card'!$A$1:$J$40</definedName>
    <definedName name="_xlnm.Print_Titles" localSheetId="19">'BIS Ratio'!$C:$C</definedName>
    <definedName name="_xlnm.Print_Titles" localSheetId="20">'Woori Card'!$C:$C</definedName>
  </definedNames>
  <calcPr calcId="145621"/>
  <fileRecoveryPr autoRecover="0"/>
</workbook>
</file>

<file path=xl/calcChain.xml><?xml version="1.0" encoding="utf-8"?>
<calcChain xmlns="http://schemas.openxmlformats.org/spreadsheetml/2006/main">
  <c r="V27" i="22" l="1"/>
  <c r="Y22" i="21"/>
  <c r="S19" i="16"/>
  <c r="U27" i="15"/>
  <c r="G7" i="35" l="1"/>
  <c r="G9" i="35"/>
  <c r="Y13" i="21" l="1"/>
  <c r="F8" i="24"/>
  <c r="X18" i="15" l="1"/>
  <c r="X17" i="15"/>
  <c r="X16" i="15"/>
  <c r="X7" i="15"/>
  <c r="X8" i="15"/>
  <c r="X9" i="15"/>
  <c r="X10" i="15"/>
  <c r="X11" i="15"/>
  <c r="X12" i="15"/>
  <c r="X13" i="15"/>
  <c r="X14" i="15"/>
  <c r="X15" i="15"/>
  <c r="X19" i="15"/>
  <c r="X20" i="15"/>
  <c r="X21" i="15"/>
  <c r="X6" i="15"/>
  <c r="X38" i="15"/>
  <c r="X37" i="15"/>
  <c r="X36" i="15"/>
  <c r="X27" i="15"/>
  <c r="X28" i="15"/>
  <c r="X29" i="15"/>
  <c r="X30" i="15"/>
  <c r="X31" i="15"/>
  <c r="X32" i="15"/>
  <c r="X33" i="15"/>
  <c r="X34" i="15"/>
  <c r="X35" i="15"/>
  <c r="X39" i="15"/>
  <c r="X40" i="15"/>
  <c r="X41" i="15"/>
  <c r="X26" i="15"/>
  <c r="V20" i="16" l="1"/>
  <c r="V19" i="16"/>
  <c r="I8" i="11"/>
  <c r="G13" i="24" l="1"/>
  <c r="Z28" i="21" l="1"/>
  <c r="G28" i="10" l="1"/>
  <c r="F25" i="10"/>
  <c r="E25" i="10"/>
  <c r="G24" i="10"/>
  <c r="G23" i="10"/>
  <c r="G22" i="10"/>
  <c r="G21" i="10"/>
  <c r="F18" i="10"/>
  <c r="E18" i="10"/>
  <c r="G17" i="10"/>
  <c r="G16" i="10"/>
  <c r="F12" i="10"/>
  <c r="E12" i="10"/>
  <c r="G11" i="10"/>
  <c r="G10" i="10"/>
  <c r="G9" i="10"/>
  <c r="N8" i="9"/>
  <c r="G25" i="10" l="1"/>
  <c r="G18" i="10"/>
  <c r="G12" i="10"/>
  <c r="G15" i="35"/>
  <c r="E15" i="35"/>
  <c r="E14" i="35"/>
  <c r="E9" i="35"/>
  <c r="E7" i="35" s="1"/>
  <c r="K22" i="5" l="1"/>
  <c r="J22" i="5"/>
  <c r="K12" i="5"/>
  <c r="K9" i="5"/>
  <c r="K8" i="5" l="1"/>
  <c r="K25" i="5" s="1"/>
  <c r="P29" i="4" l="1"/>
  <c r="P27" i="4"/>
  <c r="P24" i="4"/>
  <c r="P20" i="4"/>
  <c r="P17" i="4"/>
  <c r="H25" i="4"/>
  <c r="G25" i="4"/>
  <c r="H21" i="4"/>
  <c r="H19" i="4" l="1"/>
  <c r="H10" i="4"/>
  <c r="H8" i="4"/>
  <c r="O8" i="27"/>
  <c r="N8" i="27"/>
  <c r="M8" i="27"/>
  <c r="L8" i="27"/>
  <c r="K8" i="27"/>
  <c r="J8" i="27"/>
  <c r="I8" i="27"/>
  <c r="H8" i="27"/>
  <c r="G8" i="27"/>
  <c r="F8" i="27"/>
  <c r="E8" i="27"/>
  <c r="D8" i="27"/>
  <c r="D20" i="29"/>
  <c r="E20" i="29"/>
  <c r="H21" i="24"/>
  <c r="G27" i="24"/>
  <c r="G25" i="24"/>
  <c r="F25" i="24"/>
  <c r="F21" i="24"/>
  <c r="F27" i="24" s="1"/>
  <c r="E19" i="24"/>
  <c r="D19" i="24"/>
  <c r="E16" i="24"/>
  <c r="D16" i="24"/>
  <c r="E13" i="24"/>
  <c r="D13" i="24"/>
  <c r="E8" i="24"/>
  <c r="E25" i="24" s="1"/>
  <c r="D8" i="24"/>
  <c r="D21" i="24" s="1"/>
  <c r="D27" i="24" s="1"/>
  <c r="G7" i="24"/>
  <c r="G26" i="24" s="1"/>
  <c r="F7" i="24"/>
  <c r="F26" i="24" s="1"/>
  <c r="E7" i="24"/>
  <c r="E26" i="24" s="1"/>
  <c r="D7" i="24"/>
  <c r="D26" i="24" s="1"/>
  <c r="U26" i="22"/>
  <c r="V26" i="22"/>
  <c r="S33" i="22"/>
  <c r="R33" i="22"/>
  <c r="P33" i="22"/>
  <c r="O33" i="22"/>
  <c r="M33" i="22"/>
  <c r="L33" i="22"/>
  <c r="J33" i="22"/>
  <c r="I33" i="22"/>
  <c r="G33" i="22"/>
  <c r="F33" i="22"/>
  <c r="Q32" i="22"/>
  <c r="Q33" i="22" s="1"/>
  <c r="N32" i="22"/>
  <c r="N33" i="22" s="1"/>
  <c r="K32" i="22"/>
  <c r="K33" i="22" s="1"/>
  <c r="H32" i="22"/>
  <c r="H33" i="22" s="1"/>
  <c r="E32" i="22"/>
  <c r="E33" i="22" s="1"/>
  <c r="S31" i="22"/>
  <c r="R31" i="22"/>
  <c r="P31" i="22"/>
  <c r="O31" i="22"/>
  <c r="M31" i="22"/>
  <c r="L31" i="22"/>
  <c r="J31" i="22"/>
  <c r="I31" i="22"/>
  <c r="G31" i="22"/>
  <c r="F31" i="22"/>
  <c r="Q30" i="22"/>
  <c r="Q31" i="22" s="1"/>
  <c r="N30" i="22"/>
  <c r="N31" i="22" s="1"/>
  <c r="K30" i="22"/>
  <c r="K31" i="22" s="1"/>
  <c r="H30" i="22"/>
  <c r="H31" i="22" s="1"/>
  <c r="E30" i="22"/>
  <c r="E31" i="22" s="1"/>
  <c r="S28" i="22"/>
  <c r="S29" i="22" s="1"/>
  <c r="R28" i="22"/>
  <c r="R29" i="22" s="1"/>
  <c r="P28" i="22"/>
  <c r="P29" i="22" s="1"/>
  <c r="O28" i="22"/>
  <c r="O29" i="22" s="1"/>
  <c r="M28" i="22"/>
  <c r="M29" i="22" s="1"/>
  <c r="L28" i="22"/>
  <c r="L29" i="22" s="1"/>
  <c r="J28" i="22"/>
  <c r="J29" i="22" s="1"/>
  <c r="I28" i="22"/>
  <c r="I29" i="22" s="1"/>
  <c r="G28" i="22"/>
  <c r="G29" i="22" s="1"/>
  <c r="F28" i="22"/>
  <c r="F29" i="22" s="1"/>
  <c r="S26" i="22"/>
  <c r="S27" i="22" s="1"/>
  <c r="R26" i="22"/>
  <c r="R27" i="22" s="1"/>
  <c r="P26" i="22"/>
  <c r="P27" i="22" s="1"/>
  <c r="O26" i="22"/>
  <c r="O27" i="22" s="1"/>
  <c r="M26" i="22"/>
  <c r="M27" i="22" s="1"/>
  <c r="L26" i="22"/>
  <c r="L27" i="22" s="1"/>
  <c r="J26" i="22"/>
  <c r="J27" i="22" s="1"/>
  <c r="I26" i="22"/>
  <c r="I27" i="22" s="1"/>
  <c r="G26" i="22"/>
  <c r="G27" i="22" s="1"/>
  <c r="F26" i="22"/>
  <c r="F27" i="22" s="1"/>
  <c r="S25" i="22"/>
  <c r="R25" i="22"/>
  <c r="P25" i="22"/>
  <c r="O25" i="22"/>
  <c r="M25" i="22"/>
  <c r="L25" i="22"/>
  <c r="J25" i="22"/>
  <c r="I25" i="22"/>
  <c r="G25" i="22"/>
  <c r="F25" i="22"/>
  <c r="Q24" i="22"/>
  <c r="Q25" i="22" s="1"/>
  <c r="N24" i="22"/>
  <c r="N25" i="22" s="1"/>
  <c r="K24" i="22"/>
  <c r="K25" i="22" s="1"/>
  <c r="H24" i="22"/>
  <c r="E24" i="22"/>
  <c r="E25" i="22" s="1"/>
  <c r="S23" i="22"/>
  <c r="R23" i="22"/>
  <c r="P23" i="22"/>
  <c r="O23" i="22"/>
  <c r="N23" i="22"/>
  <c r="M23" i="22"/>
  <c r="L23" i="22"/>
  <c r="J23" i="22"/>
  <c r="I23" i="22"/>
  <c r="H23" i="22"/>
  <c r="G23" i="22"/>
  <c r="F23" i="22"/>
  <c r="Q22" i="22"/>
  <c r="Q23" i="22" s="1"/>
  <c r="N22" i="22"/>
  <c r="K22" i="22"/>
  <c r="K23" i="22" s="1"/>
  <c r="H22" i="22"/>
  <c r="H25" i="22" s="1"/>
  <c r="E22" i="22"/>
  <c r="E23" i="22" s="1"/>
  <c r="S21" i="22"/>
  <c r="R21" i="22"/>
  <c r="P21" i="22"/>
  <c r="O21" i="22"/>
  <c r="M21" i="22"/>
  <c r="L21" i="22"/>
  <c r="J21" i="22"/>
  <c r="I21" i="22"/>
  <c r="G21" i="22"/>
  <c r="F21" i="22"/>
  <c r="Q20" i="22"/>
  <c r="Q21" i="22" s="1"/>
  <c r="N20" i="22"/>
  <c r="K20" i="22"/>
  <c r="K21" i="22" s="1"/>
  <c r="H20" i="22"/>
  <c r="E20" i="22"/>
  <c r="E21" i="22" s="1"/>
  <c r="S19" i="22"/>
  <c r="R19" i="22"/>
  <c r="P19" i="22"/>
  <c r="O19" i="22"/>
  <c r="N19" i="22"/>
  <c r="M19" i="22"/>
  <c r="L19" i="22"/>
  <c r="J19" i="22"/>
  <c r="I19" i="22"/>
  <c r="H19" i="22"/>
  <c r="G19" i="22"/>
  <c r="F19" i="22"/>
  <c r="Q18" i="22"/>
  <c r="Q19" i="22" s="1"/>
  <c r="N18" i="22"/>
  <c r="N21" i="22" s="1"/>
  <c r="K18" i="22"/>
  <c r="K19" i="22" s="1"/>
  <c r="H18" i="22"/>
  <c r="H21" i="22" s="1"/>
  <c r="E18" i="22"/>
  <c r="E19" i="22" s="1"/>
  <c r="S17" i="22"/>
  <c r="R17" i="22"/>
  <c r="P17" i="22"/>
  <c r="O17" i="22"/>
  <c r="M17" i="22"/>
  <c r="L17" i="22"/>
  <c r="J17" i="22"/>
  <c r="I17" i="22"/>
  <c r="G17" i="22"/>
  <c r="F17" i="22"/>
  <c r="Q16" i="22"/>
  <c r="Q17" i="22" s="1"/>
  <c r="N16" i="22"/>
  <c r="K16" i="22"/>
  <c r="K17" i="22" s="1"/>
  <c r="H16" i="22"/>
  <c r="E16" i="22"/>
  <c r="E17" i="22" s="1"/>
  <c r="S15" i="22"/>
  <c r="R15" i="22"/>
  <c r="P15" i="22"/>
  <c r="O15" i="22"/>
  <c r="N15" i="22"/>
  <c r="M15" i="22"/>
  <c r="L15" i="22"/>
  <c r="J15" i="22"/>
  <c r="I15" i="22"/>
  <c r="H15" i="22"/>
  <c r="G15" i="22"/>
  <c r="F15" i="22"/>
  <c r="Q14" i="22"/>
  <c r="Q15" i="22" s="1"/>
  <c r="N14" i="22"/>
  <c r="N17" i="22" s="1"/>
  <c r="K14" i="22"/>
  <c r="K15" i="22" s="1"/>
  <c r="H14" i="22"/>
  <c r="H17" i="22" s="1"/>
  <c r="E14" i="22"/>
  <c r="E15" i="22" s="1"/>
  <c r="S13" i="22"/>
  <c r="R13" i="22"/>
  <c r="P13" i="22"/>
  <c r="O13" i="22"/>
  <c r="M13" i="22"/>
  <c r="L13" i="22"/>
  <c r="J13" i="22"/>
  <c r="I13" i="22"/>
  <c r="G13" i="22"/>
  <c r="F13" i="22"/>
  <c r="Q12" i="22"/>
  <c r="Q13" i="22" s="1"/>
  <c r="N12" i="22"/>
  <c r="K12" i="22"/>
  <c r="K13" i="22" s="1"/>
  <c r="H12" i="22"/>
  <c r="E12" i="22"/>
  <c r="E13" i="22" s="1"/>
  <c r="S11" i="22"/>
  <c r="R11" i="22"/>
  <c r="P11" i="22"/>
  <c r="O11" i="22"/>
  <c r="N11" i="22"/>
  <c r="M11" i="22"/>
  <c r="L11" i="22"/>
  <c r="J11" i="22"/>
  <c r="I11" i="22"/>
  <c r="H11" i="22"/>
  <c r="G11" i="22"/>
  <c r="F11" i="22"/>
  <c r="Q10" i="22"/>
  <c r="Q11" i="22" s="1"/>
  <c r="N10" i="22"/>
  <c r="N13" i="22" s="1"/>
  <c r="K10" i="22"/>
  <c r="K11" i="22" s="1"/>
  <c r="H10" i="22"/>
  <c r="H13" i="22" s="1"/>
  <c r="E10" i="22"/>
  <c r="E11" i="22" s="1"/>
  <c r="S9" i="22"/>
  <c r="R9" i="22"/>
  <c r="P9" i="22"/>
  <c r="O9" i="22"/>
  <c r="M9" i="22"/>
  <c r="L9" i="22"/>
  <c r="J9" i="22"/>
  <c r="I9" i="22"/>
  <c r="G9" i="22"/>
  <c r="F9" i="22"/>
  <c r="Q8" i="22"/>
  <c r="Q9" i="22" s="1"/>
  <c r="N8" i="22"/>
  <c r="N28" i="22" s="1"/>
  <c r="K8" i="22"/>
  <c r="K9" i="22" s="1"/>
  <c r="H8" i="22"/>
  <c r="H28" i="22" s="1"/>
  <c r="E8" i="22"/>
  <c r="E9" i="22" s="1"/>
  <c r="S7" i="22"/>
  <c r="R7" i="22"/>
  <c r="P7" i="22"/>
  <c r="O7" i="22"/>
  <c r="N7" i="22"/>
  <c r="M7" i="22"/>
  <c r="L7" i="22"/>
  <c r="J7" i="22"/>
  <c r="I7" i="22"/>
  <c r="H7" i="22"/>
  <c r="G7" i="22"/>
  <c r="F7" i="22"/>
  <c r="Q6" i="22"/>
  <c r="Q7" i="22" s="1"/>
  <c r="N6" i="22"/>
  <c r="N26" i="22" s="1"/>
  <c r="N27" i="22" s="1"/>
  <c r="K6" i="22"/>
  <c r="K7" i="22" s="1"/>
  <c r="H6" i="22"/>
  <c r="H26" i="22" s="1"/>
  <c r="H27" i="22" s="1"/>
  <c r="E6" i="22"/>
  <c r="E7" i="22" s="1"/>
  <c r="U13" i="16"/>
  <c r="V12" i="16" s="1"/>
  <c r="R13" i="16"/>
  <c r="V21" i="16"/>
  <c r="U15" i="16"/>
  <c r="U14" i="16"/>
  <c r="V14" i="16" s="1"/>
  <c r="O11" i="19"/>
  <c r="O21" i="19" s="1"/>
  <c r="T14" i="20"/>
  <c r="T11" i="20"/>
  <c r="O14" i="20"/>
  <c r="O11" i="20"/>
  <c r="J14" i="20"/>
  <c r="J11" i="20"/>
  <c r="E14" i="20"/>
  <c r="E11" i="20"/>
  <c r="T28" i="21"/>
  <c r="W28" i="21" s="1"/>
  <c r="S28" i="21"/>
  <c r="Q28" i="21"/>
  <c r="O28" i="21"/>
  <c r="M28" i="21"/>
  <c r="K28" i="21"/>
  <c r="I28" i="21"/>
  <c r="G28" i="21"/>
  <c r="E28" i="21"/>
  <c r="Q27" i="21"/>
  <c r="M27" i="21"/>
  <c r="I27" i="21"/>
  <c r="E27" i="21"/>
  <c r="U26" i="21"/>
  <c r="S26" i="21"/>
  <c r="Q26" i="21"/>
  <c r="O26" i="21"/>
  <c r="M26" i="21"/>
  <c r="K26" i="21"/>
  <c r="I26" i="21"/>
  <c r="G26" i="21"/>
  <c r="E26" i="21"/>
  <c r="W25" i="21"/>
  <c r="U25" i="21"/>
  <c r="S25" i="21"/>
  <c r="Q25" i="21"/>
  <c r="O25" i="21"/>
  <c r="M25" i="21"/>
  <c r="K25" i="21"/>
  <c r="I25" i="21"/>
  <c r="G25" i="21"/>
  <c r="E25" i="21"/>
  <c r="W24" i="21"/>
  <c r="U24" i="21"/>
  <c r="S24" i="21"/>
  <c r="Q24" i="21"/>
  <c r="O24" i="21"/>
  <c r="M24" i="21"/>
  <c r="K24" i="21"/>
  <c r="I24" i="21"/>
  <c r="G24" i="21"/>
  <c r="E24" i="21"/>
  <c r="W23" i="21"/>
  <c r="U23" i="21"/>
  <c r="S23" i="21"/>
  <c r="Q23" i="21"/>
  <c r="O23" i="21"/>
  <c r="M23" i="21"/>
  <c r="K23" i="21"/>
  <c r="I23" i="21"/>
  <c r="G23" i="21"/>
  <c r="E23" i="21"/>
  <c r="W22" i="21"/>
  <c r="U22" i="21"/>
  <c r="S22" i="21"/>
  <c r="Q22" i="21"/>
  <c r="O22" i="21"/>
  <c r="M22" i="21"/>
  <c r="K22" i="21"/>
  <c r="I22" i="21"/>
  <c r="G22" i="21"/>
  <c r="E22" i="21"/>
  <c r="W21" i="21"/>
  <c r="U21" i="21"/>
  <c r="S21" i="21"/>
  <c r="Q21" i="21"/>
  <c r="O21" i="21"/>
  <c r="M21" i="21"/>
  <c r="K21" i="21"/>
  <c r="I21" i="21"/>
  <c r="G21" i="21"/>
  <c r="E21" i="21"/>
  <c r="W20" i="21"/>
  <c r="U20" i="21"/>
  <c r="S20" i="21"/>
  <c r="Q20" i="21"/>
  <c r="O20" i="21"/>
  <c r="M20" i="21"/>
  <c r="K20" i="21"/>
  <c r="I20" i="21"/>
  <c r="G20" i="21"/>
  <c r="E20" i="21"/>
  <c r="W19" i="21"/>
  <c r="U19" i="21"/>
  <c r="S19" i="21"/>
  <c r="Q19" i="21"/>
  <c r="O19" i="21"/>
  <c r="M19" i="21"/>
  <c r="K19" i="21"/>
  <c r="I19" i="21"/>
  <c r="G19" i="21"/>
  <c r="E19" i="21"/>
  <c r="W18" i="21"/>
  <c r="U18" i="21"/>
  <c r="S18" i="21"/>
  <c r="Q18" i="21"/>
  <c r="O18" i="21"/>
  <c r="M18" i="21"/>
  <c r="K18" i="21"/>
  <c r="I18" i="21"/>
  <c r="G18" i="21"/>
  <c r="E18" i="21"/>
  <c r="W17" i="21"/>
  <c r="U17" i="21"/>
  <c r="S17" i="21"/>
  <c r="Q17" i="21"/>
  <c r="O17" i="21"/>
  <c r="M17" i="21"/>
  <c r="K17" i="21"/>
  <c r="I17" i="21"/>
  <c r="G17" i="21"/>
  <c r="E17" i="21"/>
  <c r="W16" i="21"/>
  <c r="U16" i="21"/>
  <c r="S16" i="21"/>
  <c r="Q16" i="21"/>
  <c r="O16" i="21"/>
  <c r="M16" i="21"/>
  <c r="K16" i="21"/>
  <c r="I16" i="21"/>
  <c r="G16" i="21"/>
  <c r="E16" i="21"/>
  <c r="W15" i="21"/>
  <c r="U15" i="21"/>
  <c r="S15" i="21"/>
  <c r="Q15" i="21"/>
  <c r="O15" i="21"/>
  <c r="M15" i="21"/>
  <c r="K15" i="21"/>
  <c r="I15" i="21"/>
  <c r="G15" i="21"/>
  <c r="E15" i="21"/>
  <c r="W14" i="21"/>
  <c r="U14" i="21"/>
  <c r="S14" i="21"/>
  <c r="Q14" i="21"/>
  <c r="O14" i="21"/>
  <c r="M14" i="21"/>
  <c r="K14" i="21"/>
  <c r="I14" i="21"/>
  <c r="G14" i="21"/>
  <c r="E14" i="21"/>
  <c r="W13" i="21"/>
  <c r="U13" i="21"/>
  <c r="S13" i="21"/>
  <c r="Q13" i="21"/>
  <c r="O13" i="21"/>
  <c r="M13" i="21"/>
  <c r="K13" i="21"/>
  <c r="I13" i="21"/>
  <c r="G13" i="21"/>
  <c r="E13" i="21"/>
  <c r="W12" i="21"/>
  <c r="U12" i="21"/>
  <c r="S12" i="21"/>
  <c r="Q12" i="21"/>
  <c r="O12" i="21"/>
  <c r="M12" i="21"/>
  <c r="K12" i="21"/>
  <c r="I12" i="21"/>
  <c r="G12" i="21"/>
  <c r="E12" i="21"/>
  <c r="W11" i="21"/>
  <c r="U11" i="21"/>
  <c r="S11" i="21"/>
  <c r="Q11" i="21"/>
  <c r="O11" i="21"/>
  <c r="M11" i="21"/>
  <c r="K11" i="21"/>
  <c r="I11" i="21"/>
  <c r="G11" i="21"/>
  <c r="E11" i="21"/>
  <c r="W10" i="21"/>
  <c r="U10" i="21"/>
  <c r="S10" i="21"/>
  <c r="Q10" i="21"/>
  <c r="O10" i="21"/>
  <c r="M10" i="21"/>
  <c r="K10" i="21"/>
  <c r="I10" i="21"/>
  <c r="G10" i="21"/>
  <c r="E10" i="21"/>
  <c r="W9" i="21"/>
  <c r="U9" i="21"/>
  <c r="S9" i="21"/>
  <c r="Q9" i="21"/>
  <c r="O9" i="21"/>
  <c r="M9" i="21"/>
  <c r="K9" i="21"/>
  <c r="I9" i="21"/>
  <c r="G9" i="21"/>
  <c r="E9" i="21"/>
  <c r="W8" i="21"/>
  <c r="U8" i="21"/>
  <c r="S8" i="21"/>
  <c r="Q8" i="21"/>
  <c r="O8" i="21"/>
  <c r="M8" i="21"/>
  <c r="K8" i="21"/>
  <c r="I8" i="21"/>
  <c r="G8" i="21"/>
  <c r="E8" i="21"/>
  <c r="W7" i="21"/>
  <c r="U7" i="21"/>
  <c r="S7" i="21"/>
  <c r="Q7" i="21"/>
  <c r="O7" i="21"/>
  <c r="M7" i="21"/>
  <c r="K7" i="21"/>
  <c r="I7" i="21"/>
  <c r="G7" i="21"/>
  <c r="E7" i="21"/>
  <c r="U11" i="20"/>
  <c r="V11" i="20"/>
  <c r="W11" i="20"/>
  <c r="U14" i="20"/>
  <c r="V14" i="20"/>
  <c r="W14" i="20"/>
  <c r="P11" i="20"/>
  <c r="Q11" i="20"/>
  <c r="R11" i="20"/>
  <c r="R13" i="20"/>
  <c r="P14" i="20"/>
  <c r="Q14" i="20"/>
  <c r="R14" i="20"/>
  <c r="K11" i="20"/>
  <c r="L11" i="20"/>
  <c r="M11" i="20"/>
  <c r="K14" i="20"/>
  <c r="L14" i="20"/>
  <c r="M14" i="20"/>
  <c r="F11" i="20"/>
  <c r="G11" i="20"/>
  <c r="H11" i="20"/>
  <c r="H13" i="20"/>
  <c r="F14" i="20"/>
  <c r="G14" i="20"/>
  <c r="H14" i="20"/>
  <c r="V8" i="16" l="1"/>
  <c r="V10" i="16"/>
  <c r="V9" i="16"/>
  <c r="V11" i="16"/>
  <c r="E21" i="24"/>
  <c r="E27" i="24" s="1"/>
  <c r="D25" i="24"/>
  <c r="H29" i="22"/>
  <c r="N29" i="22"/>
  <c r="H9" i="22"/>
  <c r="N9" i="22"/>
  <c r="E26" i="22"/>
  <c r="E27" i="22" s="1"/>
  <c r="K26" i="22"/>
  <c r="K27" i="22" s="1"/>
  <c r="Q26" i="22"/>
  <c r="Q27" i="22" s="1"/>
  <c r="E28" i="22"/>
  <c r="E29" i="22" s="1"/>
  <c r="K28" i="22"/>
  <c r="K29" i="22" s="1"/>
  <c r="Q28" i="22"/>
  <c r="Q29" i="22" s="1"/>
  <c r="V13" i="16"/>
  <c r="V15" i="16"/>
  <c r="U27" i="21"/>
  <c r="U28" i="21"/>
  <c r="N11" i="19" l="1"/>
  <c r="N21" i="19" s="1"/>
  <c r="S21" i="16" l="1"/>
  <c r="Q21" i="16"/>
  <c r="O21" i="16"/>
  <c r="M21" i="16"/>
  <c r="K21" i="16"/>
  <c r="I21" i="16"/>
  <c r="G21" i="16"/>
  <c r="E21" i="16"/>
  <c r="S20" i="16"/>
  <c r="Q20" i="16"/>
  <c r="O20" i="16"/>
  <c r="M20" i="16"/>
  <c r="K20" i="16"/>
  <c r="I20" i="16"/>
  <c r="G20" i="16"/>
  <c r="E20" i="16"/>
  <c r="Q19" i="16"/>
  <c r="O19" i="16"/>
  <c r="M19" i="16"/>
  <c r="K19" i="16"/>
  <c r="I19" i="16"/>
  <c r="G19" i="16"/>
  <c r="E19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S12" i="16"/>
  <c r="Q12" i="16"/>
  <c r="O12" i="16"/>
  <c r="M12" i="16"/>
  <c r="K12" i="16"/>
  <c r="I12" i="16"/>
  <c r="G12" i="16"/>
  <c r="E12" i="16"/>
  <c r="S11" i="16"/>
  <c r="Q11" i="16"/>
  <c r="O11" i="16"/>
  <c r="M11" i="16"/>
  <c r="K11" i="16"/>
  <c r="I11" i="16"/>
  <c r="G11" i="16"/>
  <c r="E11" i="16"/>
  <c r="S10" i="16"/>
  <c r="Q10" i="16"/>
  <c r="O10" i="16"/>
  <c r="M10" i="16"/>
  <c r="K10" i="16"/>
  <c r="I10" i="16"/>
  <c r="G10" i="16"/>
  <c r="E10" i="16"/>
  <c r="S9" i="16"/>
  <c r="Q9" i="16"/>
  <c r="O9" i="16"/>
  <c r="M9" i="16"/>
  <c r="K9" i="16"/>
  <c r="I9" i="16"/>
  <c r="G9" i="16"/>
  <c r="E9" i="16"/>
  <c r="S8" i="16"/>
  <c r="S13" i="16" s="1"/>
  <c r="Q8" i="16"/>
  <c r="O8" i="16"/>
  <c r="M8" i="16"/>
  <c r="K8" i="16"/>
  <c r="I8" i="16"/>
  <c r="G8" i="16"/>
  <c r="E8" i="16"/>
  <c r="U41" i="15"/>
  <c r="R41" i="15"/>
  <c r="O41" i="15"/>
  <c r="L41" i="15"/>
  <c r="I41" i="15"/>
  <c r="F41" i="15"/>
  <c r="U40" i="15"/>
  <c r="R40" i="15"/>
  <c r="O40" i="15"/>
  <c r="L40" i="15"/>
  <c r="I40" i="15"/>
  <c r="F40" i="15"/>
  <c r="U39" i="15"/>
  <c r="R39" i="15"/>
  <c r="O39" i="15"/>
  <c r="L39" i="15"/>
  <c r="I39" i="15"/>
  <c r="F39" i="15"/>
  <c r="U35" i="15"/>
  <c r="R35" i="15"/>
  <c r="O35" i="15"/>
  <c r="L35" i="15"/>
  <c r="I35" i="15"/>
  <c r="F35" i="15"/>
  <c r="U34" i="15"/>
  <c r="R34" i="15"/>
  <c r="O34" i="15"/>
  <c r="L34" i="15"/>
  <c r="I34" i="15"/>
  <c r="F34" i="15"/>
  <c r="U33" i="15"/>
  <c r="R33" i="15"/>
  <c r="O33" i="15"/>
  <c r="L33" i="15"/>
  <c r="I33" i="15"/>
  <c r="F33" i="15"/>
  <c r="U32" i="15"/>
  <c r="R32" i="15"/>
  <c r="O32" i="15"/>
  <c r="L32" i="15"/>
  <c r="I32" i="15"/>
  <c r="F32" i="15"/>
  <c r="U31" i="15"/>
  <c r="R31" i="15"/>
  <c r="O31" i="15"/>
  <c r="L31" i="15"/>
  <c r="I31" i="15"/>
  <c r="F31" i="15"/>
  <c r="U30" i="15"/>
  <c r="R30" i="15"/>
  <c r="O30" i="15"/>
  <c r="L30" i="15"/>
  <c r="I30" i="15"/>
  <c r="F30" i="15"/>
  <c r="U29" i="15"/>
  <c r="R29" i="15"/>
  <c r="O29" i="15"/>
  <c r="L29" i="15"/>
  <c r="I29" i="15"/>
  <c r="F29" i="15"/>
  <c r="U28" i="15"/>
  <c r="U38" i="15" s="1"/>
  <c r="R28" i="15"/>
  <c r="R38" i="15" s="1"/>
  <c r="O28" i="15"/>
  <c r="O38" i="15" s="1"/>
  <c r="L28" i="15"/>
  <c r="L38" i="15" s="1"/>
  <c r="I28" i="15"/>
  <c r="I38" i="15" s="1"/>
  <c r="F28" i="15"/>
  <c r="F38" i="15" s="1"/>
  <c r="U37" i="15"/>
  <c r="R27" i="15"/>
  <c r="R37" i="15" s="1"/>
  <c r="O27" i="15"/>
  <c r="O37" i="15" s="1"/>
  <c r="L27" i="15"/>
  <c r="L37" i="15" s="1"/>
  <c r="I27" i="15"/>
  <c r="I37" i="15" s="1"/>
  <c r="F27" i="15"/>
  <c r="F37" i="15" s="1"/>
  <c r="U26" i="15"/>
  <c r="U36" i="15" s="1"/>
  <c r="R26" i="15"/>
  <c r="R36" i="15" s="1"/>
  <c r="O26" i="15"/>
  <c r="O36" i="15" s="1"/>
  <c r="L26" i="15"/>
  <c r="L36" i="15" s="1"/>
  <c r="I26" i="15"/>
  <c r="I36" i="15" s="1"/>
  <c r="F26" i="15"/>
  <c r="F36" i="15" s="1"/>
  <c r="U21" i="15"/>
  <c r="R21" i="15"/>
  <c r="O21" i="15"/>
  <c r="L21" i="15"/>
  <c r="I21" i="15"/>
  <c r="F21" i="15"/>
  <c r="U20" i="15"/>
  <c r="R20" i="15"/>
  <c r="O20" i="15"/>
  <c r="L20" i="15"/>
  <c r="I20" i="15"/>
  <c r="F20" i="15"/>
  <c r="U19" i="15"/>
  <c r="R19" i="15"/>
  <c r="O19" i="15"/>
  <c r="L19" i="15"/>
  <c r="I19" i="15"/>
  <c r="F19" i="15"/>
  <c r="U18" i="15"/>
  <c r="R18" i="15"/>
  <c r="O18" i="15"/>
  <c r="L18" i="15"/>
  <c r="I18" i="15"/>
  <c r="F18" i="15"/>
  <c r="U17" i="15"/>
  <c r="R17" i="15"/>
  <c r="O17" i="15"/>
  <c r="L17" i="15"/>
  <c r="I17" i="15"/>
  <c r="F17" i="15"/>
  <c r="U16" i="15"/>
  <c r="R16" i="15"/>
  <c r="O16" i="15"/>
  <c r="L16" i="15"/>
  <c r="I16" i="15"/>
  <c r="F16" i="15"/>
  <c r="U15" i="15"/>
  <c r="R15" i="15"/>
  <c r="O15" i="15"/>
  <c r="L15" i="15"/>
  <c r="I15" i="15"/>
  <c r="F15" i="15"/>
  <c r="U14" i="15"/>
  <c r="R14" i="15"/>
  <c r="O14" i="15"/>
  <c r="L14" i="15"/>
  <c r="I14" i="15"/>
  <c r="F14" i="15"/>
  <c r="U13" i="15"/>
  <c r="R13" i="15"/>
  <c r="O13" i="15"/>
  <c r="L13" i="15"/>
  <c r="I13" i="15"/>
  <c r="F13" i="15"/>
  <c r="U12" i="15"/>
  <c r="R12" i="15"/>
  <c r="O12" i="15"/>
  <c r="L12" i="15"/>
  <c r="I12" i="15"/>
  <c r="F12" i="15"/>
  <c r="U11" i="15"/>
  <c r="R11" i="15"/>
  <c r="O11" i="15"/>
  <c r="L11" i="15"/>
  <c r="I11" i="15"/>
  <c r="F11" i="15"/>
  <c r="U10" i="15"/>
  <c r="R10" i="15"/>
  <c r="O10" i="15"/>
  <c r="L10" i="15"/>
  <c r="I10" i="15"/>
  <c r="F10" i="15"/>
  <c r="U9" i="15"/>
  <c r="R9" i="15"/>
  <c r="O9" i="15"/>
  <c r="L9" i="15"/>
  <c r="I9" i="15"/>
  <c r="F9" i="15"/>
  <c r="U8" i="15"/>
  <c r="R8" i="15"/>
  <c r="O8" i="15"/>
  <c r="L8" i="15"/>
  <c r="I8" i="15"/>
  <c r="F8" i="15"/>
  <c r="U7" i="15"/>
  <c r="R7" i="15"/>
  <c r="O7" i="15"/>
  <c r="L7" i="15"/>
  <c r="I7" i="15"/>
  <c r="F7" i="15"/>
  <c r="U6" i="15"/>
  <c r="R6" i="15"/>
  <c r="O6" i="15"/>
  <c r="L6" i="15"/>
  <c r="I6" i="15"/>
  <c r="F6" i="15"/>
  <c r="D24" i="12"/>
  <c r="H14" i="8"/>
  <c r="K28" i="10"/>
  <c r="J25" i="10"/>
  <c r="I25" i="10"/>
  <c r="K24" i="10"/>
  <c r="K23" i="10"/>
  <c r="K22" i="10"/>
  <c r="K21" i="10"/>
  <c r="K25" i="10" s="1"/>
  <c r="J18" i="10"/>
  <c r="I18" i="10"/>
  <c r="K17" i="10"/>
  <c r="K16" i="10"/>
  <c r="K18" i="10" s="1"/>
  <c r="J12" i="10"/>
  <c r="I12" i="10"/>
  <c r="K11" i="10"/>
  <c r="K10" i="10"/>
  <c r="K9" i="10"/>
  <c r="K12" i="10" s="1"/>
  <c r="O9" i="10"/>
  <c r="O12" i="10" s="1"/>
  <c r="O10" i="10"/>
  <c r="O11" i="10"/>
  <c r="M12" i="10"/>
  <c r="N12" i="10"/>
  <c r="O16" i="10"/>
  <c r="O17" i="10"/>
  <c r="M18" i="10"/>
  <c r="N18" i="10"/>
  <c r="O18" i="10"/>
  <c r="O21" i="10"/>
  <c r="O22" i="10"/>
  <c r="O25" i="10" s="1"/>
  <c r="O23" i="10"/>
  <c r="O24" i="10"/>
  <c r="M25" i="10"/>
  <c r="N25" i="10"/>
  <c r="O28" i="10"/>
  <c r="S28" i="10"/>
  <c r="R25" i="10"/>
  <c r="Q25" i="10"/>
  <c r="S24" i="10"/>
  <c r="S23" i="10"/>
  <c r="S22" i="10"/>
  <c r="S21" i="10"/>
  <c r="S25" i="10" s="1"/>
  <c r="R18" i="10"/>
  <c r="Q18" i="10"/>
  <c r="S17" i="10"/>
  <c r="S16" i="10"/>
  <c r="S18" i="10" s="1"/>
  <c r="R12" i="10"/>
  <c r="Q12" i="10"/>
  <c r="S11" i="10"/>
  <c r="S10" i="10"/>
  <c r="S12" i="10" s="1"/>
  <c r="S9" i="10"/>
  <c r="D18" i="9"/>
  <c r="E18" i="9"/>
  <c r="F18" i="9"/>
  <c r="G18" i="9"/>
  <c r="H18" i="9"/>
  <c r="I18" i="9"/>
  <c r="J18" i="9"/>
  <c r="M8" i="9"/>
  <c r="M13" i="9" s="1"/>
  <c r="L8" i="9"/>
  <c r="L13" i="9" s="1"/>
  <c r="K8" i="9"/>
  <c r="K13" i="9" s="1"/>
  <c r="J8" i="9"/>
  <c r="J13" i="9" s="1"/>
  <c r="I8" i="9"/>
  <c r="I13" i="9" s="1"/>
  <c r="H8" i="9"/>
  <c r="H13" i="9" s="1"/>
  <c r="G8" i="9"/>
  <c r="G13" i="9" s="1"/>
  <c r="F8" i="9"/>
  <c r="F13" i="9" s="1"/>
  <c r="E8" i="9"/>
  <c r="E13" i="9" s="1"/>
  <c r="D8" i="9"/>
  <c r="D13" i="9" s="1"/>
  <c r="L14" i="8"/>
  <c r="D24" i="8"/>
  <c r="H24" i="8"/>
  <c r="J19" i="8" s="1"/>
  <c r="L24" i="8"/>
  <c r="N19" i="8" s="1"/>
  <c r="M24" i="8"/>
  <c r="N24" i="8"/>
  <c r="I24" i="8"/>
  <c r="J24" i="8"/>
  <c r="J12" i="5"/>
  <c r="J9" i="5"/>
  <c r="J8" i="5"/>
  <c r="J25" i="5" s="1"/>
  <c r="I8" i="5"/>
  <c r="I25" i="5" s="1"/>
  <c r="E9" i="5"/>
  <c r="E8" i="5" s="1"/>
  <c r="E25" i="5" s="1"/>
  <c r="E12" i="5"/>
  <c r="E22" i="5"/>
  <c r="M29" i="4"/>
  <c r="N29" i="4"/>
  <c r="O29" i="4"/>
  <c r="O24" i="4"/>
  <c r="O27" i="4" s="1"/>
  <c r="N24" i="4"/>
  <c r="N27" i="4" s="1"/>
  <c r="M24" i="4"/>
  <c r="M27" i="4" s="1"/>
  <c r="L24" i="4"/>
  <c r="L27" i="4" s="1"/>
  <c r="O17" i="4"/>
  <c r="O20" i="4" s="1"/>
  <c r="N17" i="4"/>
  <c r="N20" i="4" s="1"/>
  <c r="M17" i="4"/>
  <c r="M20" i="4" s="1"/>
  <c r="L17" i="4"/>
  <c r="L20" i="4" s="1"/>
  <c r="L29" i="4" s="1"/>
  <c r="G21" i="4"/>
  <c r="F21" i="4"/>
  <c r="F25" i="4" s="1"/>
  <c r="E21" i="4"/>
  <c r="E25" i="4" s="1"/>
  <c r="D21" i="4"/>
  <c r="D25" i="4" s="1"/>
  <c r="G19" i="4"/>
  <c r="F19" i="4"/>
  <c r="E19" i="4"/>
  <c r="D19" i="4"/>
  <c r="G10" i="4"/>
  <c r="F10" i="4"/>
  <c r="E10" i="4"/>
  <c r="D10" i="4"/>
  <c r="G8" i="4"/>
  <c r="F8" i="4"/>
  <c r="E8" i="4"/>
  <c r="D8" i="4"/>
  <c r="N22" i="8" l="1"/>
  <c r="N20" i="8"/>
  <c r="N23" i="8"/>
  <c r="N21" i="8"/>
  <c r="J22" i="8"/>
  <c r="J20" i="8"/>
  <c r="J23" i="8"/>
  <c r="J21" i="8"/>
  <c r="G14" i="35" l="1"/>
  <c r="E14" i="8" l="1"/>
  <c r="F13" i="8"/>
  <c r="F12" i="8"/>
  <c r="F11" i="8"/>
  <c r="F10" i="8"/>
  <c r="F9" i="8"/>
  <c r="F14" i="8" l="1"/>
  <c r="H7" i="24"/>
  <c r="H26" i="24" s="1"/>
  <c r="H25" i="24"/>
  <c r="H27" i="24"/>
  <c r="N13" i="17" l="1"/>
  <c r="E13" i="17"/>
  <c r="M11" i="19"/>
  <c r="F20" i="8"/>
  <c r="F21" i="8"/>
  <c r="F22" i="8"/>
  <c r="F23" i="8"/>
  <c r="F24" i="8"/>
  <c r="F19" i="8"/>
  <c r="N10" i="8"/>
  <c r="N11" i="8"/>
  <c r="N12" i="8"/>
  <c r="N13" i="8"/>
  <c r="N14" i="8"/>
  <c r="N9" i="8"/>
  <c r="J10" i="8"/>
  <c r="J11" i="8"/>
  <c r="J12" i="8"/>
  <c r="J13" i="8"/>
  <c r="J14" i="8"/>
  <c r="J9" i="8"/>
  <c r="M25" i="27" l="1"/>
  <c r="N25" i="27"/>
  <c r="M26" i="27"/>
  <c r="N26" i="27"/>
  <c r="M27" i="27"/>
  <c r="N27" i="27"/>
  <c r="M28" i="27"/>
  <c r="N28" i="27"/>
  <c r="N24" i="27"/>
  <c r="M24" i="27"/>
  <c r="M21" i="19"/>
  <c r="N23" i="27" l="1"/>
  <c r="S13" i="9"/>
  <c r="X28" i="21" l="1"/>
  <c r="D13" i="17" l="1"/>
  <c r="D14" i="17"/>
  <c r="D15" i="17"/>
  <c r="S8" i="9"/>
  <c r="P9" i="9"/>
  <c r="S9" i="9"/>
  <c r="P10" i="9"/>
  <c r="S10" i="9"/>
  <c r="P11" i="9"/>
  <c r="S11" i="9"/>
  <c r="P12" i="9"/>
  <c r="S12" i="9"/>
  <c r="F14" i="35"/>
  <c r="F15" i="35"/>
  <c r="F9" i="35"/>
  <c r="F7" i="35" s="1"/>
  <c r="H29" i="4" l="1"/>
  <c r="L11" i="19" l="1"/>
  <c r="L21" i="19" s="1"/>
  <c r="M18" i="9"/>
  <c r="L18" i="9"/>
  <c r="K18" i="9"/>
  <c r="K24" i="9"/>
  <c r="J24" i="9"/>
  <c r="G24" i="9"/>
  <c r="F24" i="9"/>
  <c r="I14" i="8"/>
  <c r="M14" i="8"/>
  <c r="E24" i="8"/>
  <c r="G29" i="4"/>
  <c r="F29" i="4"/>
  <c r="E29" i="4"/>
  <c r="D29" i="4"/>
  <c r="P13" i="9" l="1"/>
  <c r="P8" i="9"/>
  <c r="I23" i="9"/>
  <c r="I21" i="9"/>
  <c r="I24" i="9"/>
  <c r="I22" i="9"/>
  <c r="E23" i="9"/>
  <c r="E21" i="9"/>
  <c r="E24" i="9"/>
  <c r="E22" i="9"/>
  <c r="M23" i="9"/>
  <c r="M21" i="9"/>
  <c r="M24" i="9"/>
  <c r="M22" i="9"/>
  <c r="D23" i="9"/>
  <c r="D21" i="9"/>
  <c r="D24" i="9"/>
  <c r="D22" i="9"/>
  <c r="H23" i="9"/>
  <c r="H21" i="9"/>
  <c r="H24" i="9"/>
  <c r="H22" i="9"/>
  <c r="L23" i="9"/>
  <c r="L21" i="9"/>
  <c r="L24" i="9"/>
  <c r="L22" i="9"/>
  <c r="F21" i="9"/>
  <c r="J21" i="9"/>
  <c r="F23" i="9"/>
  <c r="J23" i="9"/>
  <c r="G21" i="9"/>
  <c r="K21" i="9"/>
  <c r="G23" i="9"/>
  <c r="K23" i="9"/>
  <c r="F22" i="9"/>
  <c r="J22" i="9"/>
  <c r="G22" i="9"/>
  <c r="K22" i="9"/>
  <c r="K20" i="9" l="1"/>
  <c r="K25" i="9"/>
  <c r="J20" i="9"/>
  <c r="J25" i="9"/>
  <c r="L25" i="9"/>
  <c r="L20" i="9"/>
  <c r="H25" i="9"/>
  <c r="H20" i="9"/>
  <c r="D25" i="9"/>
  <c r="D20" i="9"/>
  <c r="M25" i="9"/>
  <c r="M20" i="9"/>
  <c r="E25" i="9"/>
  <c r="E20" i="9"/>
  <c r="I25" i="9"/>
  <c r="I20" i="9"/>
  <c r="G20" i="9"/>
  <c r="G25" i="9"/>
  <c r="F20" i="9"/>
  <c r="F25" i="9"/>
  <c r="T6" i="20" l="1"/>
  <c r="O6" i="20"/>
  <c r="J6" i="20"/>
  <c r="K11" i="19"/>
  <c r="K21" i="19" s="1"/>
  <c r="U6" i="20" l="1"/>
  <c r="V6" i="20"/>
  <c r="P6" i="20"/>
  <c r="K6" i="20"/>
  <c r="J11" i="19"/>
  <c r="J21" i="19" s="1"/>
  <c r="F22" i="5"/>
  <c r="F12" i="5"/>
  <c r="F9" i="5"/>
  <c r="F8" i="5" s="1"/>
  <c r="F25" i="5" s="1"/>
  <c r="Q6" i="20"/>
  <c r="L6" i="20"/>
  <c r="I11" i="19"/>
  <c r="I21" i="19" s="1"/>
  <c r="N18" i="9"/>
  <c r="W6" i="20"/>
  <c r="R6" i="20"/>
  <c r="M6" i="20"/>
  <c r="G11" i="19"/>
  <c r="G21" i="19" s="1"/>
  <c r="F11" i="19"/>
  <c r="F21" i="19" s="1"/>
  <c r="E11" i="19"/>
  <c r="E21" i="19" s="1"/>
  <c r="T6" i="22"/>
  <c r="T7" i="22" s="1"/>
  <c r="Q8" i="27"/>
  <c r="P8" i="27"/>
  <c r="H11" i="19"/>
  <c r="H21" i="19" s="1"/>
  <c r="O12" i="17"/>
  <c r="T12" i="22"/>
  <c r="E23" i="27"/>
  <c r="V33" i="22"/>
  <c r="U33" i="22"/>
  <c r="T32" i="22"/>
  <c r="V31" i="22"/>
  <c r="U31" i="22"/>
  <c r="T30" i="22"/>
  <c r="T31" i="22" s="1"/>
  <c r="V28" i="22"/>
  <c r="U28" i="22"/>
  <c r="U27" i="22"/>
  <c r="V25" i="22"/>
  <c r="U25" i="22"/>
  <c r="T24" i="22"/>
  <c r="V23" i="22"/>
  <c r="U23" i="22"/>
  <c r="T22" i="22"/>
  <c r="T23" i="22" s="1"/>
  <c r="V21" i="22"/>
  <c r="U21" i="22"/>
  <c r="T20" i="22"/>
  <c r="V19" i="22"/>
  <c r="U19" i="22"/>
  <c r="T18" i="22"/>
  <c r="V17" i="22"/>
  <c r="U17" i="22"/>
  <c r="T16" i="22"/>
  <c r="V15" i="22"/>
  <c r="U15" i="22"/>
  <c r="T14" i="22"/>
  <c r="T15" i="22" s="1"/>
  <c r="V13" i="22"/>
  <c r="U13" i="22"/>
  <c r="V11" i="22"/>
  <c r="U11" i="22"/>
  <c r="T10" i="22"/>
  <c r="T11" i="22" s="1"/>
  <c r="V9" i="22"/>
  <c r="U9" i="22"/>
  <c r="T8" i="22"/>
  <c r="T9" i="22" s="1"/>
  <c r="V7" i="22"/>
  <c r="U7" i="22"/>
  <c r="AA25" i="21"/>
  <c r="AA24" i="21"/>
  <c r="AA23" i="21"/>
  <c r="AA22" i="21"/>
  <c r="AA21" i="21"/>
  <c r="AA20" i="21"/>
  <c r="AA19" i="21"/>
  <c r="AA18" i="21"/>
  <c r="AA17" i="21"/>
  <c r="AA16" i="21"/>
  <c r="AA15" i="21"/>
  <c r="AA14" i="21"/>
  <c r="AA13" i="21"/>
  <c r="AA12" i="21"/>
  <c r="AA11" i="21"/>
  <c r="AA10" i="21"/>
  <c r="AA9" i="21"/>
  <c r="AA8" i="21"/>
  <c r="AA7" i="21"/>
  <c r="N24" i="9"/>
  <c r="O25" i="27"/>
  <c r="J23" i="27"/>
  <c r="O24" i="27"/>
  <c r="K23" i="27"/>
  <c r="H23" i="27"/>
  <c r="AB28" i="21"/>
  <c r="AB26" i="21"/>
  <c r="AB25" i="21"/>
  <c r="AB24" i="21"/>
  <c r="AB23" i="21"/>
  <c r="AB22" i="21"/>
  <c r="AB21" i="21"/>
  <c r="AB20" i="21"/>
  <c r="AB19" i="21"/>
  <c r="AB18" i="21"/>
  <c r="AB17" i="21"/>
  <c r="AB16" i="21"/>
  <c r="AB15" i="21"/>
  <c r="AB14" i="21"/>
  <c r="AB13" i="21"/>
  <c r="AB12" i="21"/>
  <c r="AB11" i="21"/>
  <c r="AB10" i="21"/>
  <c r="AB9" i="21"/>
  <c r="AB8" i="21"/>
  <c r="AB7" i="21"/>
  <c r="M15" i="17"/>
  <c r="J15" i="17"/>
  <c r="G15" i="17"/>
  <c r="M14" i="17"/>
  <c r="J14" i="17"/>
  <c r="G14" i="17"/>
  <c r="Q13" i="17"/>
  <c r="P13" i="17"/>
  <c r="M13" i="17"/>
  <c r="O20" i="17" s="1"/>
  <c r="K13" i="17"/>
  <c r="J13" i="17"/>
  <c r="H13" i="17"/>
  <c r="G13" i="17"/>
  <c r="R12" i="17"/>
  <c r="L12" i="17"/>
  <c r="I12" i="17"/>
  <c r="R11" i="17"/>
  <c r="O11" i="17"/>
  <c r="L11" i="17"/>
  <c r="I11" i="17"/>
  <c r="R10" i="17"/>
  <c r="O10" i="17"/>
  <c r="L10" i="17"/>
  <c r="I10" i="17"/>
  <c r="R9" i="17"/>
  <c r="O9" i="17"/>
  <c r="L9" i="17"/>
  <c r="I9" i="17"/>
  <c r="F9" i="17"/>
  <c r="R8" i="17"/>
  <c r="O8" i="17"/>
  <c r="L8" i="17"/>
  <c r="I8" i="17"/>
  <c r="N24" i="12"/>
  <c r="P27" i="12" s="1"/>
  <c r="I24" i="12"/>
  <c r="K24" i="12" s="1"/>
  <c r="N23" i="12"/>
  <c r="I23" i="12"/>
  <c r="D23" i="12"/>
  <c r="N9" i="12"/>
  <c r="P13" i="12" s="1"/>
  <c r="I9" i="12"/>
  <c r="K11" i="12" s="1"/>
  <c r="D9" i="12"/>
  <c r="F15" i="12" s="1"/>
  <c r="N8" i="12"/>
  <c r="I8" i="12"/>
  <c r="N23" i="11"/>
  <c r="P25" i="11" s="1"/>
  <c r="I23" i="11"/>
  <c r="K26" i="11" s="1"/>
  <c r="D23" i="11"/>
  <c r="F28" i="11" s="1"/>
  <c r="N22" i="11"/>
  <c r="I22" i="11"/>
  <c r="D22" i="11"/>
  <c r="N8" i="11"/>
  <c r="P8" i="11" s="1"/>
  <c r="K10" i="11"/>
  <c r="D8" i="11"/>
  <c r="F8" i="11" s="1"/>
  <c r="N7" i="11"/>
  <c r="I24" i="27"/>
  <c r="I25" i="27"/>
  <c r="I27" i="27"/>
  <c r="I28" i="27"/>
  <c r="F24" i="27"/>
  <c r="F25" i="27"/>
  <c r="F27" i="27"/>
  <c r="F28" i="27"/>
  <c r="P26" i="13"/>
  <c r="P36" i="13"/>
  <c r="P16" i="13"/>
  <c r="L24" i="27"/>
  <c r="L28" i="27"/>
  <c r="L25" i="27"/>
  <c r="L27" i="27"/>
  <c r="G23" i="27"/>
  <c r="I23" i="27" s="1"/>
  <c r="Y16" i="21"/>
  <c r="Y17" i="21"/>
  <c r="Y18" i="21"/>
  <c r="Y19" i="21"/>
  <c r="Y20" i="21"/>
  <c r="Y21" i="21"/>
  <c r="Y23" i="21"/>
  <c r="Y24" i="21"/>
  <c r="Y25" i="21"/>
  <c r="Y26" i="21"/>
  <c r="Y27" i="21"/>
  <c r="D23" i="27"/>
  <c r="Y28" i="21"/>
  <c r="AA28" i="21"/>
  <c r="Y7" i="21"/>
  <c r="Y8" i="21"/>
  <c r="Y9" i="21"/>
  <c r="Y10" i="21"/>
  <c r="Y11" i="21"/>
  <c r="Y12" i="21"/>
  <c r="Y14" i="21"/>
  <c r="Y15" i="21"/>
  <c r="P12" i="12"/>
  <c r="F16" i="12"/>
  <c r="O28" i="27"/>
  <c r="T19" i="22"/>
  <c r="P10" i="12"/>
  <c r="L23" i="27"/>
  <c r="P11" i="11"/>
  <c r="F10" i="11"/>
  <c r="O13" i="17"/>
  <c r="F11" i="17"/>
  <c r="N23" i="9"/>
  <c r="F12" i="12"/>
  <c r="F13" i="12" l="1"/>
  <c r="F11" i="12"/>
  <c r="F10" i="12"/>
  <c r="F14" i="11"/>
  <c r="P24" i="11"/>
  <c r="P11" i="12"/>
  <c r="T33" i="22"/>
  <c r="T25" i="22"/>
  <c r="I13" i="17"/>
  <c r="P24" i="12"/>
  <c r="K25" i="12"/>
  <c r="P9" i="12"/>
  <c r="K12" i="12"/>
  <c r="K10" i="12"/>
  <c r="K9" i="12"/>
  <c r="P23" i="11"/>
  <c r="P26" i="11"/>
  <c r="P27" i="11"/>
  <c r="K25" i="11"/>
  <c r="K23" i="11"/>
  <c r="K24" i="11"/>
  <c r="F14" i="12"/>
  <c r="F27" i="11"/>
  <c r="F29" i="11"/>
  <c r="F24" i="11"/>
  <c r="F25" i="11"/>
  <c r="F26" i="11"/>
  <c r="F23" i="11"/>
  <c r="M23" i="27"/>
  <c r="O23" i="27" s="1"/>
  <c r="T28" i="22"/>
  <c r="H36" i="13"/>
  <c r="F36" i="13"/>
  <c r="J36" i="13"/>
  <c r="L36" i="13"/>
  <c r="D36" i="13"/>
  <c r="L26" i="13"/>
  <c r="N26" i="13"/>
  <c r="J26" i="13"/>
  <c r="D26" i="13"/>
  <c r="F26" i="13"/>
  <c r="H26" i="13"/>
  <c r="N16" i="13"/>
  <c r="F16" i="13"/>
  <c r="L16" i="13"/>
  <c r="P14" i="17"/>
  <c r="R19" i="17" s="1"/>
  <c r="I19" i="17"/>
  <c r="N21" i="9"/>
  <c r="N22" i="9"/>
  <c r="F9" i="12"/>
  <c r="U29" i="22"/>
  <c r="T26" i="22"/>
  <c r="T27" i="22" s="1"/>
  <c r="T13" i="22"/>
  <c r="F10" i="17"/>
  <c r="R13" i="17"/>
  <c r="O19" i="17"/>
  <c r="O18" i="17"/>
  <c r="L20" i="17"/>
  <c r="L13" i="17"/>
  <c r="I18" i="17"/>
  <c r="F13" i="17"/>
  <c r="I20" i="17"/>
  <c r="F8" i="17"/>
  <c r="F20" i="17"/>
  <c r="N36" i="13"/>
  <c r="D16" i="13"/>
  <c r="J16" i="13"/>
  <c r="H16" i="13"/>
  <c r="O27" i="27"/>
  <c r="T17" i="22"/>
  <c r="T21" i="22"/>
  <c r="F19" i="17"/>
  <c r="K11" i="11"/>
  <c r="K8" i="11"/>
  <c r="K9" i="11"/>
  <c r="P26" i="12"/>
  <c r="P25" i="12"/>
  <c r="P28" i="12"/>
  <c r="F12" i="17"/>
  <c r="P15" i="17"/>
  <c r="R18" i="17" s="1"/>
  <c r="F23" i="27"/>
  <c r="F13" i="11"/>
  <c r="F9" i="11"/>
  <c r="F11" i="11"/>
  <c r="F12" i="11"/>
  <c r="P10" i="11"/>
  <c r="P9" i="11"/>
  <c r="P12" i="11"/>
  <c r="K27" i="12"/>
  <c r="K26" i="12"/>
  <c r="L18" i="17"/>
  <c r="L19" i="17"/>
  <c r="R20" i="17"/>
  <c r="V29" i="22"/>
  <c r="N25" i="9" l="1"/>
  <c r="T29" i="22"/>
  <c r="R36" i="13"/>
  <c r="R26" i="13"/>
  <c r="R15" i="17"/>
  <c r="N20" i="9"/>
  <c r="R16" i="13"/>
  <c r="F18" i="17"/>
  <c r="F24" i="12"/>
  <c r="F25" i="12"/>
  <c r="F29" i="12"/>
  <c r="F26" i="12"/>
  <c r="F27" i="12"/>
  <c r="F30" i="12"/>
  <c r="F28" i="12"/>
</calcChain>
</file>

<file path=xl/sharedStrings.xml><?xml version="1.0" encoding="utf-8"?>
<sst xmlns="http://schemas.openxmlformats.org/spreadsheetml/2006/main" count="1051" uniqueCount="551">
  <si>
    <t>`</t>
    <phoneticPr fontId="2" type="noConversion"/>
  </si>
  <si>
    <t>%</t>
    <phoneticPr fontId="2" type="noConversion"/>
  </si>
  <si>
    <t>-</t>
    <phoneticPr fontId="2" type="noConversion"/>
  </si>
  <si>
    <t xml:space="preserve"> </t>
  </si>
  <si>
    <t>충당금</t>
  </si>
  <si>
    <t>연체액</t>
    <phoneticPr fontId="2" type="noConversion"/>
  </si>
  <si>
    <t>법인</t>
    <phoneticPr fontId="2" type="noConversion"/>
  </si>
  <si>
    <t>합계</t>
    <phoneticPr fontId="2" type="noConversion"/>
  </si>
  <si>
    <t>p.17</t>
    <phoneticPr fontId="2" type="noConversion"/>
  </si>
  <si>
    <t>p.18</t>
    <phoneticPr fontId="2" type="noConversion"/>
  </si>
  <si>
    <t>p.19</t>
    <phoneticPr fontId="2" type="noConversion"/>
  </si>
  <si>
    <t>Total</t>
  </si>
  <si>
    <t>Ratio</t>
    <phoneticPr fontId="2" type="noConversion"/>
  </si>
  <si>
    <t>Ratio</t>
  </si>
  <si>
    <t>1)</t>
    <phoneticPr fontId="2" type="noConversion"/>
  </si>
  <si>
    <r>
      <rPr>
        <b/>
        <sz val="14"/>
        <rFont val="굴림"/>
        <family val="3"/>
        <charset val="129"/>
      </rPr>
      <t>총자산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</si>
  <si>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b/>
        <sz val="14"/>
        <rFont val="굴림"/>
        <family val="3"/>
        <charset val="129"/>
      </rPr>
      <t>자기자본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</si>
  <si>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sz val="14"/>
        <rFont val="굴림"/>
        <family val="3"/>
        <charset val="129"/>
      </rPr>
      <t>총자산</t>
    </r>
    <r>
      <rPr>
        <sz val="14"/>
        <rFont val="Arial"/>
        <family val="2"/>
      </rPr>
      <t>(</t>
    </r>
    <r>
      <rPr>
        <sz val="14"/>
        <rFont val="굴림"/>
        <family val="3"/>
        <charset val="129"/>
      </rPr>
      <t>말잔</t>
    </r>
    <r>
      <rPr>
        <sz val="14"/>
        <rFont val="Arial"/>
        <family val="2"/>
      </rPr>
      <t>)</t>
    </r>
  </si>
  <si>
    <t>Table of Contents</t>
    <phoneticPr fontId="2" type="noConversion"/>
  </si>
  <si>
    <t xml:space="preserve">   현금 및 현금성자산</t>
    <phoneticPr fontId="2" type="noConversion"/>
  </si>
  <si>
    <t xml:space="preserve">      원화현금</t>
    <phoneticPr fontId="2" type="noConversion"/>
  </si>
  <si>
    <t xml:space="preserve">      외화현금</t>
    <phoneticPr fontId="2" type="noConversion"/>
  </si>
  <si>
    <t xml:space="preserve">   금융자산</t>
    <phoneticPr fontId="2" type="noConversion"/>
  </si>
  <si>
    <t xml:space="preserve">      당기손익인식금융자산</t>
    <phoneticPr fontId="2" type="noConversion"/>
  </si>
  <si>
    <t xml:space="preserve">      매도가능금융자산</t>
    <phoneticPr fontId="2" type="noConversion"/>
  </si>
  <si>
    <t xml:space="preserve">      만기보유금융자산</t>
    <phoneticPr fontId="2" type="noConversion"/>
  </si>
  <si>
    <t xml:space="preserve">   대여금 및 수취채권</t>
    <phoneticPr fontId="2" type="noConversion"/>
  </si>
  <si>
    <t xml:space="preserve">      원화대출금</t>
    <phoneticPr fontId="2" type="noConversion"/>
  </si>
  <si>
    <t xml:space="preserve">      외화대출금</t>
    <phoneticPr fontId="2" type="noConversion"/>
  </si>
  <si>
    <t xml:space="preserve">      매입외환</t>
    <phoneticPr fontId="2" type="noConversion"/>
  </si>
  <si>
    <t xml:space="preserve">      신용카드</t>
    <phoneticPr fontId="2" type="noConversion"/>
  </si>
  <si>
    <t xml:space="preserve">      기타</t>
    <phoneticPr fontId="2" type="noConversion"/>
  </si>
  <si>
    <t xml:space="preserve">   관계기업투자자산</t>
    <phoneticPr fontId="2" type="noConversion"/>
  </si>
  <si>
    <t xml:space="preserve">   유형 및 기타자산</t>
    <phoneticPr fontId="2" type="noConversion"/>
  </si>
  <si>
    <t xml:space="preserve">      유형자산</t>
    <phoneticPr fontId="2" type="noConversion"/>
  </si>
  <si>
    <t xml:space="preserve">      무형자산</t>
    <phoneticPr fontId="2" type="noConversion"/>
  </si>
  <si>
    <t xml:space="preserve">      파생상품자산</t>
    <phoneticPr fontId="2" type="noConversion"/>
  </si>
  <si>
    <t xml:space="preserve">      원화예수금</t>
    <phoneticPr fontId="2" type="noConversion"/>
  </si>
  <si>
    <t xml:space="preserve">      외화예수금</t>
    <phoneticPr fontId="2" type="noConversion"/>
  </si>
  <si>
    <t xml:space="preserve">      CD</t>
    <phoneticPr fontId="2" type="noConversion"/>
  </si>
  <si>
    <t xml:space="preserve">      원화차입금</t>
    <phoneticPr fontId="2" type="noConversion"/>
  </si>
  <si>
    <t xml:space="preserve">      외화차입금</t>
    <phoneticPr fontId="2" type="noConversion"/>
  </si>
  <si>
    <t xml:space="preserve">  발행사채</t>
    <phoneticPr fontId="2" type="noConversion"/>
  </si>
  <si>
    <t xml:space="preserve">      원화사채</t>
    <phoneticPr fontId="2" type="noConversion"/>
  </si>
  <si>
    <t xml:space="preserve">      외화사채</t>
    <phoneticPr fontId="2" type="noConversion"/>
  </si>
  <si>
    <t xml:space="preserve">  이익잉여금</t>
    <phoneticPr fontId="2" type="noConversion"/>
  </si>
  <si>
    <t xml:space="preserve">      충당부채</t>
    <phoneticPr fontId="2" type="noConversion"/>
  </si>
  <si>
    <t xml:space="preserve"> 자본총계</t>
    <phoneticPr fontId="2" type="noConversion"/>
  </si>
  <si>
    <t xml:space="preserve"> 부채총계</t>
    <phoneticPr fontId="2" type="noConversion"/>
  </si>
  <si>
    <t xml:space="preserve">  자본금</t>
  </si>
  <si>
    <t xml:space="preserve">  자본잉여금</t>
  </si>
  <si>
    <t xml:space="preserve">  기타자본</t>
    <phoneticPr fontId="2" type="noConversion"/>
  </si>
  <si>
    <t xml:space="preserve">  비지배지분</t>
    <phoneticPr fontId="2" type="noConversion"/>
  </si>
  <si>
    <t xml:space="preserve"> 부채와자본총계</t>
    <phoneticPr fontId="2" type="noConversion"/>
  </si>
  <si>
    <t>(단위: 십억원)</t>
  </si>
  <si>
    <t xml:space="preserve">  영업이익</t>
    <phoneticPr fontId="2" type="noConversion"/>
  </si>
  <si>
    <t xml:space="preserve">   순이자이익</t>
    <phoneticPr fontId="2" type="noConversion"/>
  </si>
  <si>
    <t xml:space="preserve">      이자수익</t>
    <phoneticPr fontId="2" type="noConversion"/>
  </si>
  <si>
    <t xml:space="preserve">      이자비용</t>
    <phoneticPr fontId="2" type="noConversion"/>
  </si>
  <si>
    <t xml:space="preserve">   순수수료수익</t>
    <phoneticPr fontId="2" type="noConversion"/>
  </si>
  <si>
    <t xml:space="preserve">      수수료수익</t>
    <phoneticPr fontId="2" type="noConversion"/>
  </si>
  <si>
    <t xml:space="preserve">      수수료비용</t>
    <phoneticPr fontId="2" type="noConversion"/>
  </si>
  <si>
    <t xml:space="preserve">   배당수익</t>
    <phoneticPr fontId="2" type="noConversion"/>
  </si>
  <si>
    <t xml:space="preserve">   당기손익인식금융자산 관련손익</t>
    <phoneticPr fontId="2" type="noConversion"/>
  </si>
  <si>
    <t xml:space="preserve">   매도가능금융자산 관련손익</t>
    <phoneticPr fontId="2" type="noConversion"/>
  </si>
  <si>
    <t xml:space="preserve">   만기보유금융자산 관련손익</t>
    <phoneticPr fontId="2" type="noConversion"/>
  </si>
  <si>
    <t xml:space="preserve">   신용손실에 대한 손상차손</t>
    <phoneticPr fontId="2" type="noConversion"/>
  </si>
  <si>
    <t xml:space="preserve">   기타영업손익</t>
    <phoneticPr fontId="2" type="noConversion"/>
  </si>
  <si>
    <t>영업외이익</t>
    <phoneticPr fontId="2" type="noConversion"/>
  </si>
  <si>
    <t xml:space="preserve">   관계기업투자자산평가손익</t>
    <phoneticPr fontId="2" type="noConversion"/>
  </si>
  <si>
    <t xml:space="preserve">      기타영업외손익</t>
    <phoneticPr fontId="2" type="noConversion"/>
  </si>
  <si>
    <t xml:space="preserve">  법인세비용차감전 순이익</t>
    <phoneticPr fontId="2" type="noConversion"/>
  </si>
  <si>
    <t>분기중</t>
    <phoneticPr fontId="2" type="noConversion"/>
  </si>
  <si>
    <t>영업이익</t>
    <phoneticPr fontId="2" type="noConversion"/>
  </si>
  <si>
    <t>당기순이익</t>
    <phoneticPr fontId="2" type="noConversion"/>
  </si>
  <si>
    <t>(단위: 십억원)</t>
    <phoneticPr fontId="2" type="noConversion"/>
  </si>
  <si>
    <t>(단위: 십억원)</t>
    <phoneticPr fontId="2" type="noConversion"/>
  </si>
  <si>
    <t xml:space="preserve">     (정기예금)</t>
    <phoneticPr fontId="2" type="noConversion"/>
  </si>
  <si>
    <t xml:space="preserve">    (양도성예금증서(CD))</t>
    <phoneticPr fontId="2" type="noConversion"/>
  </si>
  <si>
    <t>총계</t>
  </si>
  <si>
    <t>(단위: 십억원)</t>
    <phoneticPr fontId="2" type="noConversion"/>
  </si>
  <si>
    <t xml:space="preserve">     (정기예금)</t>
    <phoneticPr fontId="2" type="noConversion"/>
  </si>
  <si>
    <t xml:space="preserve">    (양도성예금증서(CD))</t>
    <phoneticPr fontId="2" type="noConversion"/>
  </si>
  <si>
    <t>1. 저금리성자금은 요구불예금, 가계 및 기업 자유예금 포함</t>
    <phoneticPr fontId="2" type="noConversion"/>
  </si>
  <si>
    <t>*  원화예수금 기준</t>
  </si>
  <si>
    <t>차주별 총여신</t>
    <phoneticPr fontId="2" type="noConversion"/>
  </si>
  <si>
    <r>
      <t>(단위: 십억원</t>
    </r>
    <r>
      <rPr>
        <sz val="8"/>
        <rFont val="굴림"/>
        <family val="3"/>
        <charset val="129"/>
      </rPr>
      <t>)</t>
    </r>
    <phoneticPr fontId="2" type="noConversion"/>
  </si>
  <si>
    <t>총여신</t>
    <phoneticPr fontId="2" type="noConversion"/>
  </si>
  <si>
    <t>총여신</t>
    <phoneticPr fontId="2" type="noConversion"/>
  </si>
  <si>
    <t>기업</t>
  </si>
  <si>
    <t>중소기업</t>
  </si>
  <si>
    <t>대기업</t>
  </si>
  <si>
    <t>가계</t>
  </si>
  <si>
    <t>공공부문 및 기타</t>
  </si>
  <si>
    <t>합 계</t>
    <phoneticPr fontId="2" type="noConversion"/>
  </si>
  <si>
    <t>합 계</t>
    <phoneticPr fontId="2" type="noConversion"/>
  </si>
  <si>
    <r>
      <t xml:space="preserve">(단위: </t>
    </r>
    <r>
      <rPr>
        <sz val="8"/>
        <rFont val="Arial"/>
        <family val="2"/>
      </rPr>
      <t xml:space="preserve"> %</t>
    </r>
    <r>
      <rPr>
        <sz val="8"/>
        <rFont val="굴림"/>
        <family val="3"/>
        <charset val="129"/>
      </rPr>
      <t>)</t>
    </r>
    <phoneticPr fontId="2" type="noConversion"/>
  </si>
  <si>
    <t>* 총여신은 무수익여신 산정대상여신 기준</t>
    <phoneticPr fontId="2" type="noConversion"/>
  </si>
  <si>
    <t>차주별 원화대출금</t>
    <phoneticPr fontId="2" type="noConversion"/>
  </si>
  <si>
    <t>&gt;&gt;기업자금대출</t>
    <phoneticPr fontId="2" type="noConversion"/>
  </si>
  <si>
    <t xml:space="preserve">      대기업</t>
    <phoneticPr fontId="2" type="noConversion"/>
  </si>
  <si>
    <t xml:space="preserve">      중소기업</t>
    <phoneticPr fontId="2" type="noConversion"/>
  </si>
  <si>
    <t xml:space="preserve">        (개인사업자)</t>
    <phoneticPr fontId="2" type="noConversion"/>
  </si>
  <si>
    <t xml:space="preserve">      합   계</t>
    <phoneticPr fontId="2" type="noConversion"/>
  </si>
  <si>
    <t>&gt;&gt;가계자금대출</t>
    <phoneticPr fontId="2" type="noConversion"/>
  </si>
  <si>
    <t xml:space="preserve"> ▶ 차주별</t>
    <phoneticPr fontId="2" type="noConversion"/>
  </si>
  <si>
    <t xml:space="preserve">       개인사업자</t>
    <phoneticPr fontId="2" type="noConversion"/>
  </si>
  <si>
    <t xml:space="preserve">       비사업자</t>
    <phoneticPr fontId="2" type="noConversion"/>
  </si>
  <si>
    <t xml:space="preserve"> ▶ 대출종류별</t>
    <phoneticPr fontId="2" type="noConversion"/>
  </si>
  <si>
    <t xml:space="preserve">      주택담보대출</t>
    <phoneticPr fontId="2" type="noConversion"/>
  </si>
  <si>
    <t xml:space="preserve">      주택자금대출</t>
    <phoneticPr fontId="2" type="noConversion"/>
  </si>
  <si>
    <t xml:space="preserve">      수요자금융</t>
    <phoneticPr fontId="2" type="noConversion"/>
  </si>
  <si>
    <t xml:space="preserve">      기타</t>
    <phoneticPr fontId="2" type="noConversion"/>
  </si>
  <si>
    <t>&gt;&gt;공공 및 기타자금대출금 등</t>
    <phoneticPr fontId="2" type="noConversion"/>
  </si>
  <si>
    <t xml:space="preserve">    공공 및 기타 등(은행간대여포함)</t>
    <phoneticPr fontId="2" type="noConversion"/>
  </si>
  <si>
    <t>금리/ 대출/ 담보별 여신 - 대기업, 중소기업</t>
    <phoneticPr fontId="2" type="noConversion"/>
  </si>
  <si>
    <t>▶금리종류별</t>
    <phoneticPr fontId="2" type="noConversion"/>
  </si>
  <si>
    <t>▶ 대출종류별</t>
    <phoneticPr fontId="2" type="noConversion"/>
  </si>
  <si>
    <t>▶ 담보종류별</t>
    <phoneticPr fontId="2" type="noConversion"/>
  </si>
  <si>
    <r>
      <t>(</t>
    </r>
    <r>
      <rPr>
        <sz val="8"/>
        <rFont val="굴림"/>
        <family val="3"/>
        <charset val="129"/>
      </rPr>
      <t>단위: 십억원</t>
    </r>
    <r>
      <rPr>
        <sz val="8"/>
        <rFont val="Arial"/>
        <family val="2"/>
      </rPr>
      <t>, %)</t>
    </r>
    <phoneticPr fontId="2" type="noConversion"/>
  </si>
  <si>
    <t>합계</t>
    <phoneticPr fontId="2" type="noConversion"/>
  </si>
  <si>
    <t>프라임연동</t>
  </si>
  <si>
    <t>시장금리연동</t>
  </si>
  <si>
    <t>수신금리연동</t>
  </si>
  <si>
    <t>고정금리</t>
  </si>
  <si>
    <t>정책금리연동</t>
  </si>
  <si>
    <r>
      <t>(</t>
    </r>
    <r>
      <rPr>
        <sz val="8"/>
        <rFont val="굴림"/>
        <family val="3"/>
        <charset val="129"/>
      </rPr>
      <t>단위: 십억원</t>
    </r>
    <r>
      <rPr>
        <sz val="8"/>
        <rFont val="Arial"/>
        <family val="2"/>
      </rPr>
      <t>, %)</t>
    </r>
    <phoneticPr fontId="2" type="noConversion"/>
  </si>
  <si>
    <t>합계</t>
    <phoneticPr fontId="2" type="noConversion"/>
  </si>
  <si>
    <t>담보</t>
  </si>
  <si>
    <t>무담보(신용)</t>
    <phoneticPr fontId="2" type="noConversion"/>
  </si>
  <si>
    <t>보증서</t>
    <phoneticPr fontId="2" type="noConversion"/>
  </si>
  <si>
    <t>동산/부동산</t>
    <phoneticPr fontId="2" type="noConversion"/>
  </si>
  <si>
    <t>예적금</t>
    <phoneticPr fontId="2" type="noConversion"/>
  </si>
  <si>
    <t>유가증권</t>
    <phoneticPr fontId="2" type="noConversion"/>
  </si>
  <si>
    <t>기타</t>
    <phoneticPr fontId="2" type="noConversion"/>
  </si>
  <si>
    <t>* 은행계정 원화대출금 기준</t>
    <phoneticPr fontId="2" type="noConversion"/>
  </si>
  <si>
    <t>* 대출종류별 담보 현황 (금융감독원 보고 기준)</t>
    <phoneticPr fontId="2" type="noConversion"/>
  </si>
  <si>
    <t>* 금리종류별 : 한국은행 보고서 기준 (당좌차월, 가계당좌차월 및 재정자금대출 제외)</t>
  </si>
  <si>
    <t>금리/ 대출/ 담보별 여신 - 가계, 공공/기타</t>
    <phoneticPr fontId="2" type="noConversion"/>
  </si>
  <si>
    <t>▶ 금리종류별</t>
    <phoneticPr fontId="2" type="noConversion"/>
  </si>
  <si>
    <r>
      <t>(단위: 십억원</t>
    </r>
    <r>
      <rPr>
        <sz val="8"/>
        <rFont val="굴림"/>
        <family val="3"/>
        <charset val="129"/>
      </rPr>
      <t>)</t>
    </r>
    <phoneticPr fontId="2" type="noConversion"/>
  </si>
  <si>
    <r>
      <t>3</t>
    </r>
    <r>
      <rPr>
        <sz val="9"/>
        <color indexed="9"/>
        <rFont val="돋움"/>
        <family val="3"/>
        <charset val="129"/>
      </rPr>
      <t>개월이하</t>
    </r>
    <phoneticPr fontId="2" type="noConversion"/>
  </si>
  <si>
    <r>
      <t>3~6</t>
    </r>
    <r>
      <rPr>
        <sz val="9"/>
        <color indexed="9"/>
        <rFont val="돋움"/>
        <family val="3"/>
        <charset val="129"/>
      </rPr>
      <t>개월이하</t>
    </r>
    <phoneticPr fontId="2" type="noConversion"/>
  </si>
  <si>
    <r>
      <t>6</t>
    </r>
    <r>
      <rPr>
        <sz val="9"/>
        <color indexed="9"/>
        <rFont val="돋움"/>
        <family val="3"/>
        <charset val="129"/>
      </rPr>
      <t>개월</t>
    </r>
    <r>
      <rPr>
        <sz val="9"/>
        <color indexed="9"/>
        <rFont val="Arial"/>
        <family val="2"/>
      </rPr>
      <t>~1</t>
    </r>
    <r>
      <rPr>
        <sz val="9"/>
        <color indexed="9"/>
        <rFont val="돋움"/>
        <family val="3"/>
        <charset val="129"/>
      </rPr>
      <t>년이하</t>
    </r>
    <phoneticPr fontId="2" type="noConversion"/>
  </si>
  <si>
    <r>
      <t>1</t>
    </r>
    <r>
      <rPr>
        <sz val="9"/>
        <color indexed="9"/>
        <rFont val="돋움"/>
        <family val="3"/>
        <charset val="129"/>
      </rPr>
      <t>년</t>
    </r>
    <r>
      <rPr>
        <sz val="9"/>
        <color indexed="9"/>
        <rFont val="Arial"/>
        <family val="2"/>
      </rPr>
      <t>~3</t>
    </r>
    <r>
      <rPr>
        <sz val="9"/>
        <color indexed="9"/>
        <rFont val="돋움"/>
        <family val="3"/>
        <charset val="129"/>
      </rPr>
      <t>년이하</t>
    </r>
    <phoneticPr fontId="2" type="noConversion"/>
  </si>
  <si>
    <r>
      <t>3</t>
    </r>
    <r>
      <rPr>
        <sz val="9"/>
        <color indexed="9"/>
        <rFont val="돋움"/>
        <family val="3"/>
        <charset val="129"/>
      </rPr>
      <t>년</t>
    </r>
    <r>
      <rPr>
        <sz val="9"/>
        <color indexed="9"/>
        <rFont val="Arial"/>
        <family val="2"/>
      </rPr>
      <t xml:space="preserve"> ~10</t>
    </r>
    <r>
      <rPr>
        <sz val="9"/>
        <color indexed="9"/>
        <rFont val="돋움"/>
        <family val="3"/>
        <charset val="129"/>
      </rPr>
      <t>년이하</t>
    </r>
    <phoneticPr fontId="2" type="noConversion"/>
  </si>
  <si>
    <r>
      <t>10</t>
    </r>
    <r>
      <rPr>
        <sz val="9"/>
        <color indexed="9"/>
        <rFont val="돋움"/>
        <family val="3"/>
        <charset val="129"/>
      </rPr>
      <t>년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돋움"/>
        <family val="3"/>
        <charset val="129"/>
      </rPr>
      <t>초과</t>
    </r>
    <phoneticPr fontId="2" type="noConversion"/>
  </si>
  <si>
    <t>연체금액</t>
    <phoneticPr fontId="2" type="noConversion"/>
  </si>
  <si>
    <t>합 계</t>
    <phoneticPr fontId="2" type="noConversion"/>
  </si>
  <si>
    <t>* 잔존만기기준으로 금감원 보고기준(원화대출금에 한함)</t>
    <phoneticPr fontId="2" type="noConversion"/>
  </si>
  <si>
    <t>(단위: 십억원, %)</t>
    <phoneticPr fontId="2" type="noConversion"/>
  </si>
  <si>
    <t xml:space="preserve"> 이자수익자산(A)</t>
    <phoneticPr fontId="2" type="noConversion"/>
  </si>
  <si>
    <t xml:space="preserve">     원화대출금(C)</t>
    <phoneticPr fontId="2" type="noConversion"/>
  </si>
  <si>
    <t xml:space="preserve">     외화대출금(E)</t>
    <phoneticPr fontId="2" type="noConversion"/>
  </si>
  <si>
    <t xml:space="preserve"> 이자비용부채(B)</t>
    <phoneticPr fontId="2" type="noConversion"/>
  </si>
  <si>
    <t xml:space="preserve">     원화예수금(D)</t>
    <phoneticPr fontId="2" type="noConversion"/>
  </si>
  <si>
    <t xml:space="preserve">     외화예수금(F)</t>
    <phoneticPr fontId="2" type="noConversion"/>
  </si>
  <si>
    <t xml:space="preserve">     원화차입금</t>
    <phoneticPr fontId="2" type="noConversion"/>
  </si>
  <si>
    <t xml:space="preserve">     외화차입금</t>
    <phoneticPr fontId="2" type="noConversion"/>
  </si>
  <si>
    <t xml:space="preserve">     원화사채</t>
    <phoneticPr fontId="2" type="noConversion"/>
  </si>
  <si>
    <t xml:space="preserve">     외화사채</t>
    <phoneticPr fontId="2" type="noConversion"/>
  </si>
  <si>
    <r>
      <t>순이자</t>
    </r>
    <r>
      <rPr>
        <sz val="9"/>
        <rFont val="Arial"/>
        <family val="2"/>
      </rPr>
      <t xml:space="preserve"> Spread(A-B)</t>
    </r>
    <phoneticPr fontId="2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</si>
  <si>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Spread(C-D)</t>
    </r>
    <phoneticPr fontId="2" type="noConversion"/>
  </si>
  <si>
    <r>
      <t xml:space="preserve"> 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Spread(E-F)</t>
    </r>
    <phoneticPr fontId="2" type="noConversion"/>
  </si>
  <si>
    <t>NIM</t>
    <phoneticPr fontId="2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</si>
  <si>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NIM</t>
    </r>
    <phoneticPr fontId="2" type="noConversion"/>
  </si>
  <si>
    <r>
      <t xml:space="preserve">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NIM</t>
    </r>
    <phoneticPr fontId="2" type="noConversion"/>
  </si>
  <si>
    <r>
      <t xml:space="preserve">* </t>
    </r>
    <r>
      <rPr>
        <sz val="9"/>
        <rFont val="돋움"/>
        <family val="3"/>
        <charset val="129"/>
      </rPr>
      <t>금감원 보고기준</t>
    </r>
    <phoneticPr fontId="2" type="noConversion"/>
  </si>
  <si>
    <t>(단위: 십억원, %)</t>
    <phoneticPr fontId="2" type="noConversion"/>
  </si>
  <si>
    <t>정상</t>
  </si>
  <si>
    <t>요주의</t>
  </si>
  <si>
    <t>고정</t>
  </si>
  <si>
    <t>회수의문</t>
  </si>
  <si>
    <t>추정손실</t>
  </si>
  <si>
    <t>신용공여 합계</t>
  </si>
  <si>
    <t>요주의이하</t>
  </si>
  <si>
    <t>고정이하</t>
  </si>
  <si>
    <t>&gt;&gt;주요비율</t>
    <phoneticPr fontId="2" type="noConversion"/>
  </si>
  <si>
    <t>충당금/요주의이하</t>
  </si>
  <si>
    <t>충당금/신용공여 합계</t>
  </si>
  <si>
    <t>* 무수익여신 기준</t>
    <phoneticPr fontId="2" type="noConversion"/>
  </si>
  <si>
    <t>(단위: 십억원, %)</t>
    <phoneticPr fontId="2" type="noConversion"/>
  </si>
  <si>
    <t>&gt;&gt;주요비율</t>
    <phoneticPr fontId="2" type="noConversion"/>
  </si>
  <si>
    <t>대기업</t>
    <phoneticPr fontId="2" type="noConversion"/>
  </si>
  <si>
    <t>중소기업</t>
    <phoneticPr fontId="2" type="noConversion"/>
  </si>
  <si>
    <t>가계</t>
    <phoneticPr fontId="2" type="noConversion"/>
  </si>
  <si>
    <t>공공 및 기타</t>
    <phoneticPr fontId="2" type="noConversion"/>
  </si>
  <si>
    <t>합 계</t>
    <phoneticPr fontId="2" type="noConversion"/>
  </si>
  <si>
    <t>금액</t>
  </si>
  <si>
    <t>충당금</t>
    <phoneticPr fontId="2" type="noConversion"/>
  </si>
  <si>
    <t>%</t>
    <phoneticPr fontId="2" type="noConversion"/>
  </si>
  <si>
    <t>금액</t>
    <phoneticPr fontId="2" type="noConversion"/>
  </si>
  <si>
    <t>(단위: 십억원, %)</t>
    <phoneticPr fontId="2" type="noConversion"/>
  </si>
  <si>
    <t>차주별 대손충당금 전입</t>
    <phoneticPr fontId="2" type="noConversion"/>
  </si>
  <si>
    <t xml:space="preserve"> 가계</t>
    <phoneticPr fontId="2" type="noConversion"/>
  </si>
  <si>
    <t xml:space="preserve"> 합 계</t>
    <phoneticPr fontId="2" type="noConversion"/>
  </si>
  <si>
    <t>(단위 : 십억원)</t>
  </si>
  <si>
    <t>신용카드</t>
    <phoneticPr fontId="2" type="noConversion"/>
  </si>
  <si>
    <t>대출금액</t>
    <phoneticPr fontId="2" type="noConversion"/>
  </si>
  <si>
    <t>연체금액</t>
    <phoneticPr fontId="2" type="noConversion"/>
  </si>
  <si>
    <r>
      <t xml:space="preserve">  </t>
    </r>
    <r>
      <rPr>
        <b/>
        <sz val="9"/>
        <rFont val="굴림"/>
        <family val="3"/>
        <charset val="129"/>
      </rPr>
      <t>연체비율</t>
    </r>
    <phoneticPr fontId="2" type="noConversion"/>
  </si>
  <si>
    <t>상각금액</t>
    <phoneticPr fontId="2" type="noConversion"/>
  </si>
  <si>
    <t>매각금액</t>
    <phoneticPr fontId="2" type="noConversion"/>
  </si>
  <si>
    <r>
      <t xml:space="preserve">  </t>
    </r>
    <r>
      <rPr>
        <b/>
        <sz val="9"/>
        <rFont val="굴림"/>
        <family val="3"/>
        <charset val="129"/>
      </rPr>
      <t>실질연체율</t>
    </r>
    <phoneticPr fontId="2" type="noConversion"/>
  </si>
  <si>
    <r>
      <t xml:space="preserve">*   </t>
    </r>
    <r>
      <rPr>
        <sz val="8"/>
        <rFont val="굴림"/>
        <family val="3"/>
        <charset val="129"/>
      </rPr>
      <t>총여신</t>
    </r>
    <r>
      <rPr>
        <sz val="8"/>
        <rFont val="Arial"/>
        <family val="2"/>
      </rPr>
      <t xml:space="preserve">: </t>
    </r>
    <r>
      <rPr>
        <sz val="8"/>
        <rFont val="굴림"/>
        <family val="3"/>
        <charset val="129"/>
      </rPr>
      <t>금감원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보고기준</t>
    </r>
    <r>
      <rPr>
        <sz val="8"/>
        <rFont val="Arial"/>
        <family val="2"/>
      </rPr>
      <t xml:space="preserve">, </t>
    </r>
    <r>
      <rPr>
        <sz val="8"/>
        <rFont val="굴림"/>
        <family val="3"/>
        <charset val="129"/>
      </rPr>
      <t>무수익여신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산정기준</t>
    </r>
    <r>
      <rPr>
        <sz val="8"/>
        <rFont val="Arial"/>
        <family val="2"/>
      </rPr>
      <t>+</t>
    </r>
    <r>
      <rPr>
        <sz val="8"/>
        <rFont val="굴림"/>
        <family val="3"/>
        <charset val="129"/>
      </rPr>
      <t>지보대지급금</t>
    </r>
    <phoneticPr fontId="2" type="noConversion"/>
  </si>
  <si>
    <t>총여신</t>
    <phoneticPr fontId="2" type="noConversion"/>
  </si>
  <si>
    <r>
      <t>부문별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굴림"/>
        <family val="3"/>
        <charset val="129"/>
      </rPr>
      <t>연체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굴림"/>
        <family val="3"/>
        <charset val="129"/>
      </rPr>
      <t>현황</t>
    </r>
    <phoneticPr fontId="2" type="noConversion"/>
  </si>
  <si>
    <t>농업, 임업 및 어업</t>
    <phoneticPr fontId="2" type="noConversion"/>
  </si>
  <si>
    <t>광업</t>
  </si>
  <si>
    <t>제조업</t>
  </si>
  <si>
    <t>전기, 가스, 증기 및 수도사업</t>
    <phoneticPr fontId="2" type="noConversion"/>
  </si>
  <si>
    <t>하수, 폐기물 처리, 원료재생 및 환경복원업</t>
    <phoneticPr fontId="2" type="noConversion"/>
  </si>
  <si>
    <t>건설업</t>
  </si>
  <si>
    <t>도매 및 소매업</t>
  </si>
  <si>
    <t>운수업</t>
    <phoneticPr fontId="2" type="noConversion"/>
  </si>
  <si>
    <t>숙박 및 음식점업</t>
    <phoneticPr fontId="2" type="noConversion"/>
  </si>
  <si>
    <t>출판, 영상, 방송통신 및 정보서비스업</t>
    <phoneticPr fontId="2" type="noConversion"/>
  </si>
  <si>
    <t>금융 및 보험업</t>
  </si>
  <si>
    <t>부동산업 및 임대업</t>
    <phoneticPr fontId="2" type="noConversion"/>
  </si>
  <si>
    <t>전문, 과학 및 기술서비스업</t>
    <phoneticPr fontId="2" type="noConversion"/>
  </si>
  <si>
    <t>사업시설관리 및 사업지원서비스업</t>
    <phoneticPr fontId="2" type="noConversion"/>
  </si>
  <si>
    <t>공공행정,국방 및 사회보장행정</t>
  </si>
  <si>
    <t>교육서비스업</t>
  </si>
  <si>
    <t>보건업 및 사회복지 서비스업</t>
    <phoneticPr fontId="2" type="noConversion"/>
  </si>
  <si>
    <t>예술, 스포츠 및 여가관련 서비스업</t>
    <phoneticPr fontId="2" type="noConversion"/>
  </si>
  <si>
    <t>협회 및 단체, 수리 및 기타 개인 서비스업</t>
    <phoneticPr fontId="2" type="noConversion"/>
  </si>
  <si>
    <t>가사서비스업</t>
  </si>
  <si>
    <t>국제 및 외국기관</t>
    <phoneticPr fontId="2" type="noConversion"/>
  </si>
  <si>
    <t>기업대출</t>
    <phoneticPr fontId="2" type="noConversion"/>
  </si>
  <si>
    <t>비중</t>
    <phoneticPr fontId="2" type="noConversion"/>
  </si>
  <si>
    <t>연체율</t>
    <phoneticPr fontId="2" type="noConversion"/>
  </si>
  <si>
    <r>
      <t>(단위: 십억원,</t>
    </r>
    <r>
      <rPr>
        <sz val="9"/>
        <rFont val="Arial"/>
        <family val="2"/>
      </rPr>
      <t xml:space="preserve"> %</t>
    </r>
    <r>
      <rPr>
        <sz val="9"/>
        <rFont val="굴림"/>
        <family val="3"/>
        <charset val="129"/>
      </rPr>
      <t>)</t>
    </r>
    <phoneticPr fontId="2" type="noConversion"/>
  </si>
  <si>
    <t>총여신금액</t>
    <phoneticPr fontId="2" type="noConversion"/>
  </si>
  <si>
    <t xml:space="preserve">비중 </t>
    <phoneticPr fontId="2" type="noConversion"/>
  </si>
  <si>
    <t>총연체금액</t>
    <phoneticPr fontId="2" type="noConversion"/>
  </si>
  <si>
    <t>연체비율</t>
    <phoneticPr fontId="2" type="noConversion"/>
  </si>
  <si>
    <t>제조업</t>
    <phoneticPr fontId="2" type="noConversion"/>
  </si>
  <si>
    <t>건설업</t>
    <phoneticPr fontId="2" type="noConversion"/>
  </si>
  <si>
    <t>도/소매업</t>
    <phoneticPr fontId="2" type="noConversion"/>
  </si>
  <si>
    <t>숙박/음식업</t>
    <phoneticPr fontId="2" type="noConversion"/>
  </si>
  <si>
    <t>부동산 및 임대업</t>
    <phoneticPr fontId="2" type="noConversion"/>
  </si>
  <si>
    <t>기타</t>
    <phoneticPr fontId="2" type="noConversion"/>
  </si>
  <si>
    <t>* 은행 및 신탁계정 기준</t>
    <phoneticPr fontId="2" type="noConversion"/>
  </si>
  <si>
    <t>개인</t>
    <phoneticPr fontId="2" type="noConversion"/>
  </si>
  <si>
    <t>합계</t>
    <phoneticPr fontId="2" type="noConversion"/>
  </si>
  <si>
    <t xml:space="preserve"> 기본자본계</t>
    <phoneticPr fontId="2" type="noConversion"/>
  </si>
  <si>
    <t xml:space="preserve">    자본금</t>
    <phoneticPr fontId="2" type="noConversion"/>
  </si>
  <si>
    <t xml:space="preserve">    자본잉여금</t>
    <phoneticPr fontId="2" type="noConversion"/>
  </si>
  <si>
    <t xml:space="preserve">    기타</t>
    <phoneticPr fontId="2" type="noConversion"/>
  </si>
  <si>
    <t xml:space="preserve"> 보완자본계</t>
    <phoneticPr fontId="172" type="noConversion"/>
  </si>
  <si>
    <t xml:space="preserve">    대손충당금 (정상 &amp; 요주의) </t>
    <phoneticPr fontId="172" type="noConversion"/>
  </si>
  <si>
    <t xml:space="preserve"> 자기자본계</t>
    <phoneticPr fontId="2" type="noConversion"/>
  </si>
  <si>
    <t xml:space="preserve"> 위험가중자산</t>
    <phoneticPr fontId="2" type="noConversion"/>
  </si>
  <si>
    <t xml:space="preserve">  기본자본비율</t>
    <phoneticPr fontId="2" type="noConversion"/>
  </si>
  <si>
    <r>
      <t>(</t>
    </r>
    <r>
      <rPr>
        <sz val="10"/>
        <rFont val="돋움"/>
        <family val="3"/>
        <charset val="129"/>
      </rPr>
      <t>단위: 백만원)</t>
    </r>
    <phoneticPr fontId="2" type="noConversion"/>
  </si>
  <si>
    <r>
      <rPr>
        <sz val="10"/>
        <color indexed="9"/>
        <rFont val="돋움"/>
        <family val="3"/>
        <charset val="129"/>
      </rPr>
      <t>회원수</t>
    </r>
    <r>
      <rPr>
        <sz val="10"/>
        <color indexed="9"/>
        <rFont val="Arial"/>
        <family val="2"/>
      </rPr>
      <t xml:space="preserve"> (</t>
    </r>
    <r>
      <rPr>
        <sz val="10"/>
        <color indexed="9"/>
        <rFont val="돋움"/>
        <family val="3"/>
        <charset val="129"/>
      </rPr>
      <t>천명</t>
    </r>
    <r>
      <rPr>
        <sz val="10"/>
        <color indexed="9"/>
        <rFont val="Arial"/>
        <family val="2"/>
      </rPr>
      <t>)</t>
    </r>
    <phoneticPr fontId="2" type="noConversion"/>
  </si>
  <si>
    <t>일시불</t>
    <phoneticPr fontId="2" type="noConversion"/>
  </si>
  <si>
    <t>할부</t>
    <phoneticPr fontId="2" type="noConversion"/>
  </si>
  <si>
    <t>현금서비스</t>
    <phoneticPr fontId="2" type="noConversion"/>
  </si>
  <si>
    <t>카드사용액</t>
    <phoneticPr fontId="2" type="noConversion"/>
  </si>
  <si>
    <t>신용카드자산</t>
    <phoneticPr fontId="2" type="noConversion"/>
  </si>
  <si>
    <t>신용판매</t>
    <phoneticPr fontId="2" type="noConversion"/>
  </si>
  <si>
    <t>카드론</t>
    <phoneticPr fontId="2" type="noConversion"/>
  </si>
  <si>
    <t>현금 및 현금성자산</t>
    <phoneticPr fontId="2" type="noConversion"/>
  </si>
  <si>
    <t>당기손익인식금융자산</t>
    <phoneticPr fontId="2" type="noConversion"/>
  </si>
  <si>
    <t>매도가능금융자산</t>
    <phoneticPr fontId="2" type="noConversion"/>
  </si>
  <si>
    <t>대여금 및 수취채권</t>
    <phoneticPr fontId="2" type="noConversion"/>
  </si>
  <si>
    <t>유형자산</t>
    <phoneticPr fontId="2" type="noConversion"/>
  </si>
  <si>
    <t>무형자산</t>
    <phoneticPr fontId="2" type="noConversion"/>
  </si>
  <si>
    <t>기타자산</t>
    <phoneticPr fontId="2" type="noConversion"/>
  </si>
  <si>
    <t>이연법인세자산</t>
    <phoneticPr fontId="2" type="noConversion"/>
  </si>
  <si>
    <t>자산총계</t>
    <phoneticPr fontId="2" type="noConversion"/>
  </si>
  <si>
    <t>차입부채</t>
    <phoneticPr fontId="2" type="noConversion"/>
  </si>
  <si>
    <t>발행사채</t>
    <phoneticPr fontId="2" type="noConversion"/>
  </si>
  <si>
    <t>충당부채</t>
    <phoneticPr fontId="2" type="noConversion"/>
  </si>
  <si>
    <t>기타금융부채</t>
    <phoneticPr fontId="2" type="noConversion"/>
  </si>
  <si>
    <t>기타부채</t>
    <phoneticPr fontId="2" type="noConversion"/>
  </si>
  <si>
    <t>부채총계</t>
    <phoneticPr fontId="2" type="noConversion"/>
  </si>
  <si>
    <t>자본금</t>
    <phoneticPr fontId="2" type="noConversion"/>
  </si>
  <si>
    <t>자본잉여금</t>
    <phoneticPr fontId="2" type="noConversion"/>
  </si>
  <si>
    <t>기타자본</t>
    <phoneticPr fontId="2" type="noConversion"/>
  </si>
  <si>
    <t>이익잉여금</t>
    <phoneticPr fontId="2" type="noConversion"/>
  </si>
  <si>
    <t>자본총계</t>
    <phoneticPr fontId="2" type="noConversion"/>
  </si>
  <si>
    <t>부채와 자본총계</t>
    <phoneticPr fontId="2" type="noConversion"/>
  </si>
  <si>
    <t>순이자이익</t>
    <phoneticPr fontId="2" type="noConversion"/>
  </si>
  <si>
    <t xml:space="preserve">    이자수익</t>
    <phoneticPr fontId="2" type="noConversion"/>
  </si>
  <si>
    <t>순수수료수익</t>
    <phoneticPr fontId="2" type="noConversion"/>
  </si>
  <si>
    <r>
      <t xml:space="preserve">     </t>
    </r>
    <r>
      <rPr>
        <sz val="9"/>
        <rFont val="돋움"/>
        <family val="3"/>
        <charset val="129"/>
      </rPr>
      <t>수수료수익</t>
    </r>
    <phoneticPr fontId="2" type="noConversion"/>
  </si>
  <si>
    <r>
      <t xml:space="preserve">     </t>
    </r>
    <r>
      <rPr>
        <sz val="9"/>
        <rFont val="돋움"/>
        <family val="3"/>
        <charset val="129"/>
      </rPr>
      <t>수수료비용</t>
    </r>
    <phoneticPr fontId="2" type="noConversion"/>
  </si>
  <si>
    <t>배당수익</t>
    <phoneticPr fontId="2" type="noConversion"/>
  </si>
  <si>
    <t>당기손익인식금융자산 관련손익</t>
    <phoneticPr fontId="2" type="noConversion"/>
  </si>
  <si>
    <t>매도가능금융자산 관련손익</t>
    <phoneticPr fontId="2" type="noConversion"/>
  </si>
  <si>
    <t>만기보유금융자산 관련손익</t>
    <phoneticPr fontId="2" type="noConversion"/>
  </si>
  <si>
    <t>신용손실에 대한 손상차손</t>
    <phoneticPr fontId="2" type="noConversion"/>
  </si>
  <si>
    <t>기타영업손익</t>
    <phoneticPr fontId="2" type="noConversion"/>
  </si>
  <si>
    <t>관계기업투자자산평가손익</t>
    <phoneticPr fontId="2" type="noConversion"/>
  </si>
  <si>
    <t xml:space="preserve">   기타영업외손익</t>
    <phoneticPr fontId="2" type="noConversion"/>
  </si>
  <si>
    <t>법인세비용차감전 순이익</t>
    <phoneticPr fontId="2" type="noConversion"/>
  </si>
  <si>
    <t>법인세비용</t>
    <phoneticPr fontId="2" type="noConversion"/>
  </si>
  <si>
    <t>(단위: 십억원)</t>
    <phoneticPr fontId="2" type="noConversion"/>
  </si>
  <si>
    <t>신용공여</t>
    <phoneticPr fontId="2" type="noConversion"/>
  </si>
  <si>
    <t xml:space="preserve">   총 신용공여</t>
  </si>
  <si>
    <t xml:space="preserve">    정상</t>
  </si>
  <si>
    <t xml:space="preserve">    요주의</t>
  </si>
  <si>
    <t xml:space="preserve">    고정</t>
  </si>
  <si>
    <t xml:space="preserve">    회수의문</t>
  </si>
  <si>
    <t xml:space="preserve">    추정손실</t>
  </si>
  <si>
    <t>(%)
적립율</t>
    <phoneticPr fontId="2" type="noConversion"/>
  </si>
  <si>
    <t>기     업</t>
    <phoneticPr fontId="2" type="noConversion"/>
  </si>
  <si>
    <t>가     계</t>
    <phoneticPr fontId="2" type="noConversion"/>
  </si>
  <si>
    <t>공공 및 기타</t>
    <phoneticPr fontId="2" type="noConversion"/>
  </si>
  <si>
    <r>
      <rPr>
        <sz val="9"/>
        <color indexed="9"/>
        <rFont val="돋움"/>
        <family val="3"/>
        <charset val="129"/>
      </rPr>
      <t>합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돋움"/>
        <family val="3"/>
        <charset val="129"/>
      </rPr>
      <t>계</t>
    </r>
    <phoneticPr fontId="2" type="noConversion"/>
  </si>
  <si>
    <t>재무제표</t>
    <phoneticPr fontId="2" type="noConversion"/>
  </si>
  <si>
    <t>3) 기타</t>
    <phoneticPr fontId="2" type="noConversion"/>
  </si>
  <si>
    <t>수신 및 여신현황</t>
    <phoneticPr fontId="2" type="noConversion"/>
  </si>
  <si>
    <t>수익성 및 건전성</t>
    <phoneticPr fontId="2" type="noConversion"/>
  </si>
  <si>
    <r>
      <t xml:space="preserve">1) </t>
    </r>
    <r>
      <rPr>
        <b/>
        <sz val="11"/>
        <rFont val="돋움"/>
        <family val="3"/>
        <charset val="129"/>
      </rPr>
      <t>자본적정성</t>
    </r>
    <phoneticPr fontId="2" type="noConversion"/>
  </si>
  <si>
    <t xml:space="preserve"> 이자수익자산(A)</t>
    <phoneticPr fontId="2" type="noConversion"/>
  </si>
  <si>
    <t xml:space="preserve">     원화대출금(C)</t>
    <phoneticPr fontId="2" type="noConversion"/>
  </si>
  <si>
    <t xml:space="preserve">     외화대출금(E)</t>
    <phoneticPr fontId="2" type="noConversion"/>
  </si>
  <si>
    <t xml:space="preserve"> 이자비용부채(B)</t>
    <phoneticPr fontId="2" type="noConversion"/>
  </si>
  <si>
    <t xml:space="preserve">     원화차입금</t>
    <phoneticPr fontId="2" type="noConversion"/>
  </si>
  <si>
    <t xml:space="preserve">     외화차입금</t>
    <phoneticPr fontId="2" type="noConversion"/>
  </si>
  <si>
    <t xml:space="preserve">     원화사채</t>
    <phoneticPr fontId="2" type="noConversion"/>
  </si>
  <si>
    <t xml:space="preserve">     외화사채</t>
    <phoneticPr fontId="2" type="noConversion"/>
  </si>
  <si>
    <r>
      <t>순이자</t>
    </r>
    <r>
      <rPr>
        <sz val="9"/>
        <rFont val="Arial"/>
        <family val="2"/>
      </rPr>
      <t xml:space="preserve"> Spread(A-B)</t>
    </r>
    <phoneticPr fontId="2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</si>
  <si>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Spread(C-D)</t>
    </r>
    <phoneticPr fontId="2" type="noConversion"/>
  </si>
  <si>
    <r>
      <t xml:space="preserve"> 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Spread(E-F)</t>
    </r>
    <phoneticPr fontId="2" type="noConversion"/>
  </si>
  <si>
    <t>NIM</t>
    <phoneticPr fontId="2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</si>
  <si>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NIM</t>
    </r>
    <phoneticPr fontId="2" type="noConversion"/>
  </si>
  <si>
    <r>
      <t xml:space="preserve">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NIM</t>
    </r>
    <phoneticPr fontId="2" type="noConversion"/>
  </si>
  <si>
    <t>영업규모</t>
    <phoneticPr fontId="2" type="noConversion"/>
  </si>
  <si>
    <t>수익/비용</t>
    <phoneticPr fontId="2" type="noConversion"/>
  </si>
  <si>
    <t xml:space="preserve"> 예수부채</t>
    <phoneticPr fontId="2" type="noConversion"/>
  </si>
  <si>
    <t xml:space="preserve">  차입부채</t>
    <phoneticPr fontId="2" type="noConversion"/>
  </si>
  <si>
    <t>p.2</t>
    <phoneticPr fontId="2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</si>
  <si>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</t>
    </r>
    <r>
      <rPr>
        <sz val="10"/>
        <rFont val="맑은 고딕"/>
        <family val="3"/>
        <charset val="129"/>
      </rPr>
      <t>수신구성</t>
    </r>
    <phoneticPr fontId="2" type="noConversion"/>
  </si>
  <si>
    <t>p.3</t>
    <phoneticPr fontId="2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</si>
  <si>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</t>
    </r>
    <r>
      <rPr>
        <sz val="10"/>
        <rFont val="맑은 고딕"/>
        <family val="3"/>
        <charset val="129"/>
      </rPr>
      <t>차주별 총여신</t>
    </r>
    <phoneticPr fontId="2" type="noConversion"/>
  </si>
  <si>
    <t xml:space="preserve"> </t>
    <phoneticPr fontId="2" type="noConversion"/>
  </si>
  <si>
    <t>p.14</t>
    <phoneticPr fontId="2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</si>
  <si>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차주별 원화대출금</t>
    </r>
    <phoneticPr fontId="2" type="noConversion"/>
  </si>
  <si>
    <t>p.8</t>
    <phoneticPr fontId="2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</si>
  <si>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금리/대출/담보별 여신</t>
    </r>
    <phoneticPr fontId="2" type="noConversion"/>
  </si>
  <si>
    <t xml:space="preserve"> - 대기업, 중소기업</t>
    <phoneticPr fontId="2" type="noConversion"/>
  </si>
  <si>
    <t xml:space="preserve"> - 가계, 공공/기타</t>
    <phoneticPr fontId="2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</si>
  <si>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여신 만기구조</t>
    </r>
    <phoneticPr fontId="2" type="noConversion"/>
  </si>
  <si>
    <t>p.11</t>
    <phoneticPr fontId="2" type="noConversion"/>
  </si>
  <si>
    <t>은행계정</t>
    <phoneticPr fontId="2" type="noConversion"/>
  </si>
  <si>
    <t>신탁계정</t>
    <phoneticPr fontId="2" type="noConversion"/>
  </si>
  <si>
    <t xml:space="preserve">   판매관리비</t>
    <phoneticPr fontId="2" type="noConversion"/>
  </si>
  <si>
    <t xml:space="preserve">    이익잉여금 </t>
    <phoneticPr fontId="172" type="noConversion"/>
  </si>
  <si>
    <t xml:space="preserve">    (-) 공제항목</t>
    <phoneticPr fontId="172" type="noConversion"/>
  </si>
  <si>
    <t xml:space="preserve"> 보통주자본계</t>
    <phoneticPr fontId="2" type="noConversion"/>
  </si>
  <si>
    <t xml:space="preserve"> 기타기본자본계</t>
    <phoneticPr fontId="172" type="noConversion"/>
  </si>
  <si>
    <t xml:space="preserve">    연결종속회사가 발행한 자본증권에 대한 비지배주주지분</t>
    <phoneticPr fontId="2" type="noConversion"/>
  </si>
  <si>
    <t xml:space="preserve">  BIS비율</t>
    <phoneticPr fontId="2" type="noConversion"/>
  </si>
  <si>
    <t xml:space="preserve">  보통주자본비율</t>
    <phoneticPr fontId="2" type="noConversion"/>
  </si>
  <si>
    <r>
      <t xml:space="preserve">저금리성자금 </t>
    </r>
    <r>
      <rPr>
        <vertAlign val="superscript"/>
        <sz val="9"/>
        <rFont val="굴림"/>
        <family val="3"/>
        <charset val="129"/>
      </rPr>
      <t>1</t>
    </r>
    <phoneticPr fontId="2" type="noConversion"/>
  </si>
  <si>
    <t>금액</t>
    <phoneticPr fontId="2" type="noConversion"/>
  </si>
  <si>
    <r>
      <t xml:space="preserve">    CD</t>
    </r>
    <r>
      <rPr>
        <sz val="9"/>
        <rFont val="굴림"/>
        <family val="3"/>
        <charset val="129"/>
      </rPr>
      <t>연동</t>
    </r>
    <phoneticPr fontId="2" type="noConversion"/>
  </si>
  <si>
    <r>
      <t xml:space="preserve">    CD</t>
    </r>
    <r>
      <rPr>
        <sz val="9"/>
        <rFont val="굴림"/>
        <family val="3"/>
        <charset val="129"/>
      </rPr>
      <t>연동</t>
    </r>
    <phoneticPr fontId="2" type="noConversion"/>
  </si>
  <si>
    <r>
      <t xml:space="preserve">    COFIX</t>
    </r>
    <r>
      <rPr>
        <sz val="9"/>
        <rFont val="굴림"/>
        <family val="3"/>
        <charset val="129"/>
      </rPr>
      <t>연동</t>
    </r>
    <phoneticPr fontId="2" type="noConversion"/>
  </si>
  <si>
    <r>
      <t xml:space="preserve">    </t>
    </r>
    <r>
      <rPr>
        <sz val="9"/>
        <rFont val="돋움"/>
        <family val="3"/>
        <charset val="129"/>
      </rPr>
      <t>정책금리연동</t>
    </r>
    <phoneticPr fontId="2" type="noConversion"/>
  </si>
  <si>
    <t>&gt;&gt;&gt; 재무상태표</t>
    <phoneticPr fontId="2" type="noConversion"/>
  </si>
  <si>
    <t>&gt;&gt;&gt; 포괄손익계산서</t>
    <phoneticPr fontId="2" type="noConversion"/>
  </si>
  <si>
    <t>p.4</t>
    <phoneticPr fontId="2" type="noConversion"/>
  </si>
  <si>
    <t>p. 5</t>
    <phoneticPr fontId="2" type="noConversion"/>
  </si>
  <si>
    <t>p.6</t>
    <phoneticPr fontId="2" type="noConversion"/>
  </si>
  <si>
    <t>p.7</t>
    <phoneticPr fontId="2" type="noConversion"/>
  </si>
  <si>
    <t>p.9</t>
    <phoneticPr fontId="2" type="noConversion"/>
  </si>
  <si>
    <t>p.10</t>
    <phoneticPr fontId="2" type="noConversion"/>
  </si>
  <si>
    <t>p.13</t>
    <phoneticPr fontId="2" type="noConversion"/>
  </si>
  <si>
    <t>p.15</t>
    <phoneticPr fontId="2" type="noConversion"/>
  </si>
  <si>
    <t>p.16</t>
    <phoneticPr fontId="2" type="noConversion"/>
  </si>
  <si>
    <t>p.20</t>
    <phoneticPr fontId="2" type="noConversion"/>
  </si>
  <si>
    <t>금액</t>
    <phoneticPr fontId="2" type="noConversion"/>
  </si>
  <si>
    <t>우리카드 자산건전성</t>
    <phoneticPr fontId="2" type="noConversion"/>
  </si>
  <si>
    <r>
      <rPr>
        <sz val="10"/>
        <rFont val="맑은 고딕"/>
        <family val="3"/>
        <charset val="129"/>
      </rPr>
      <t>□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차주별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자산건전성</t>
    </r>
    <phoneticPr fontId="2" type="noConversion"/>
  </si>
  <si>
    <t xml:space="preserve"> 기업</t>
    <phoneticPr fontId="2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</si>
  <si>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자산건전성</t>
    </r>
    <phoneticPr fontId="2" type="noConversion"/>
  </si>
  <si>
    <t>BIS 비율</t>
    <phoneticPr fontId="2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</si>
  <si>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BIS </t>
    </r>
    <r>
      <rPr>
        <sz val="10"/>
        <color indexed="8"/>
        <rFont val="맑은 고딕"/>
        <family val="3"/>
        <charset val="129"/>
      </rPr>
      <t>비율</t>
    </r>
    <phoneticPr fontId="2" type="noConversion"/>
  </si>
  <si>
    <t xml:space="preserve"> 자산총계</t>
    <phoneticPr fontId="2" type="noConversion"/>
  </si>
  <si>
    <r>
      <t xml:space="preserve">충당금/고정이하 </t>
    </r>
    <r>
      <rPr>
        <vertAlign val="superscript"/>
        <sz val="9"/>
        <rFont val="굴림"/>
        <family val="3"/>
        <charset val="129"/>
      </rPr>
      <t>1)</t>
    </r>
    <phoneticPr fontId="2" type="noConversion"/>
  </si>
  <si>
    <r>
      <t>* 무수익여신 산정대상 여신 기준</t>
    </r>
    <r>
      <rPr>
        <sz val="9"/>
        <rFont val="Arial"/>
        <family val="2"/>
      </rPr>
      <t/>
    </r>
    <phoneticPr fontId="2" type="noConversion"/>
  </si>
  <si>
    <t>* 은행계정 및 신탁계정 기업자금대출의 합</t>
    <phoneticPr fontId="2" type="noConversion"/>
  </si>
  <si>
    <t>* 금융감독원 보고기준</t>
    <phoneticPr fontId="2" type="noConversion"/>
  </si>
  <si>
    <r>
      <t xml:space="preserve">충당금/요주의이하 </t>
    </r>
    <r>
      <rPr>
        <vertAlign val="superscript"/>
        <sz val="9"/>
        <rFont val="굴림"/>
        <family val="3"/>
        <charset val="129"/>
      </rPr>
      <t>1)</t>
    </r>
    <phoneticPr fontId="2" type="noConversion"/>
  </si>
  <si>
    <r>
      <t xml:space="preserve">*   </t>
    </r>
    <r>
      <rPr>
        <sz val="8"/>
        <rFont val="굴림"/>
        <family val="3"/>
        <charset val="129"/>
      </rPr>
      <t>대기업</t>
    </r>
    <r>
      <rPr>
        <sz val="8"/>
        <rFont val="Arial"/>
        <family val="2"/>
      </rPr>
      <t xml:space="preserve">, </t>
    </r>
    <r>
      <rPr>
        <sz val="8"/>
        <rFont val="굴림"/>
        <family val="3"/>
        <charset val="129"/>
      </rPr>
      <t>중소기업</t>
    </r>
    <r>
      <rPr>
        <sz val="8"/>
        <rFont val="Arial"/>
        <family val="2"/>
      </rPr>
      <t xml:space="preserve">, </t>
    </r>
    <r>
      <rPr>
        <sz val="8"/>
        <rFont val="굴림"/>
        <family val="3"/>
        <charset val="129"/>
      </rPr>
      <t>가계</t>
    </r>
    <r>
      <rPr>
        <sz val="8"/>
        <rFont val="Arial"/>
        <family val="2"/>
      </rPr>
      <t xml:space="preserve">: </t>
    </r>
    <r>
      <rPr>
        <sz val="8"/>
        <rFont val="굴림"/>
        <family val="3"/>
        <charset val="129"/>
      </rPr>
      <t>은행계정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원화대출금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및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신탁계정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기준</t>
    </r>
    <phoneticPr fontId="2" type="noConversion"/>
  </si>
  <si>
    <t>□ 차주별 연체율</t>
    <phoneticPr fontId="2" type="noConversion"/>
  </si>
  <si>
    <t>□ SME여신의 산업별 연체</t>
    <phoneticPr fontId="2" type="noConversion"/>
  </si>
  <si>
    <t>□ 기업여신의 산업별 연체</t>
    <phoneticPr fontId="2" type="noConversion"/>
  </si>
  <si>
    <r>
      <t>(</t>
    </r>
    <r>
      <rPr>
        <sz val="9"/>
        <rFont val="돋움"/>
        <family val="3"/>
        <charset val="129"/>
      </rPr>
      <t>단위</t>
    </r>
    <r>
      <rPr>
        <sz val="9"/>
        <rFont val="Arial"/>
        <family val="2"/>
      </rPr>
      <t xml:space="preserve">: </t>
    </r>
    <r>
      <rPr>
        <sz val="9"/>
        <rFont val="돋움"/>
        <family val="3"/>
        <charset val="129"/>
      </rPr>
      <t>십억원</t>
    </r>
    <r>
      <rPr>
        <sz val="9"/>
        <rFont val="Arial"/>
        <family val="2"/>
      </rPr>
      <t>, %)</t>
    </r>
    <phoneticPr fontId="2" type="noConversion"/>
  </si>
  <si>
    <t>* 금융감독원 보고기준</t>
    <phoneticPr fontId="2" type="noConversion"/>
  </si>
  <si>
    <t>정책금리연동</t>
    <phoneticPr fontId="2" type="noConversion"/>
  </si>
  <si>
    <r>
      <t xml:space="preserve">2) </t>
    </r>
    <r>
      <rPr>
        <b/>
        <sz val="11"/>
        <rFont val="돋움"/>
        <family val="3"/>
        <charset val="129"/>
      </rPr>
      <t>신용카드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우리카드</t>
    </r>
    <r>
      <rPr>
        <b/>
        <sz val="11"/>
        <rFont val="Arial"/>
        <family val="2"/>
      </rPr>
      <t>)</t>
    </r>
    <phoneticPr fontId="2" type="noConversion"/>
  </si>
  <si>
    <t>우리카드 재무제표</t>
    <phoneticPr fontId="2" type="noConversion"/>
  </si>
  <si>
    <t>□ 재무제표</t>
    <phoneticPr fontId="2" type="noConversion"/>
  </si>
  <si>
    <t>-</t>
    <phoneticPr fontId="2" type="noConversion"/>
  </si>
  <si>
    <r>
      <t xml:space="preserve">* Basel 3 </t>
    </r>
    <r>
      <rPr>
        <sz val="8"/>
        <rFont val="돋움"/>
        <family val="3"/>
        <charset val="129"/>
      </rPr>
      <t>기준</t>
    </r>
    <phoneticPr fontId="2" type="noConversion"/>
  </si>
  <si>
    <t>영업외이익</t>
    <phoneticPr fontId="2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</si>
  <si>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대손충당금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전입</t>
    </r>
    <phoneticPr fontId="2" type="noConversion"/>
  </si>
  <si>
    <t xml:space="preserve">  기타부채</t>
    <phoneticPr fontId="2" type="noConversion"/>
  </si>
  <si>
    <t xml:space="preserve">      파생상품부채</t>
    <phoneticPr fontId="2" type="noConversion"/>
  </si>
  <si>
    <r>
      <t xml:space="preserve">  </t>
    </r>
    <r>
      <rPr>
        <b/>
        <sz val="9"/>
        <rFont val="HY견고딕"/>
        <family val="1"/>
        <charset val="129"/>
      </rPr>
      <t>당기순이익</t>
    </r>
    <r>
      <rPr>
        <b/>
        <vertAlign val="superscript"/>
        <sz val="9"/>
        <rFont val="Arial"/>
        <family val="2"/>
      </rPr>
      <t>1)</t>
    </r>
    <phoneticPr fontId="2" type="noConversion"/>
  </si>
  <si>
    <r>
      <t xml:space="preserve">1. </t>
    </r>
    <r>
      <rPr>
        <sz val="8"/>
        <rFont val="돋움"/>
        <family val="3"/>
        <charset val="129"/>
      </rPr>
      <t>지배기업지분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기준</t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</si>
  <si>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수신구성</t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</si>
  <si>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여신구성</t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</si>
  <si>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구성비율</t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</si>
  <si>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대기업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대출금</t>
    </r>
    <r>
      <rPr>
        <b/>
        <sz val="12"/>
        <color indexed="53"/>
        <rFont val="Arial"/>
        <family val="2"/>
      </rPr>
      <t/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</si>
  <si>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중소기업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대출금</t>
    </r>
    <r>
      <rPr>
        <b/>
        <sz val="12"/>
        <color indexed="53"/>
        <rFont val="Arial"/>
        <family val="2"/>
      </rPr>
      <t/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</si>
  <si>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가계대출금</t>
    </r>
    <r>
      <rPr>
        <b/>
        <sz val="12"/>
        <color indexed="53"/>
        <rFont val="Arial"/>
        <family val="2"/>
      </rPr>
      <t/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</si>
  <si>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공공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및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기타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대출금</t>
    </r>
    <r>
      <rPr>
        <b/>
        <sz val="12"/>
        <color indexed="53"/>
        <rFont val="Arial"/>
        <family val="2"/>
      </rPr>
      <t/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</si>
  <si>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중소기업대출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만기구조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현황</t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</si>
  <si>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가계대출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만기구조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현황</t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</si>
  <si>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주택담보대출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만기구조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현황</t>
    </r>
    <phoneticPr fontId="2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</si>
  <si>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누적기준</t>
    </r>
    <phoneticPr fontId="2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</si>
  <si>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분기기준</t>
    </r>
    <phoneticPr fontId="2" type="noConversion"/>
  </si>
  <si>
    <r>
      <t>&gt;&gt;&gt;</t>
    </r>
    <r>
      <rPr>
        <b/>
        <sz val="12"/>
        <color indexed="53"/>
        <rFont val="맑은 고딕"/>
        <family val="3"/>
        <charset val="129"/>
      </rPr>
      <t>우리은행</t>
    </r>
    <phoneticPr fontId="2" type="noConversion"/>
  </si>
  <si>
    <r>
      <t>&gt;&gt;&gt;</t>
    </r>
    <r>
      <rPr>
        <b/>
        <sz val="12"/>
        <color indexed="53"/>
        <rFont val="맑은 고딕"/>
        <family val="3"/>
        <charset val="129"/>
      </rPr>
      <t>우리카드</t>
    </r>
    <phoneticPr fontId="2" type="noConversion"/>
  </si>
  <si>
    <r>
      <t>&gt;&gt;&gt;</t>
    </r>
    <r>
      <rPr>
        <b/>
        <sz val="12"/>
        <color indexed="53"/>
        <rFont val="맑은 고딕"/>
        <family val="3"/>
        <charset val="129"/>
      </rPr>
      <t>합</t>
    </r>
    <r>
      <rPr>
        <b/>
        <sz val="12"/>
        <color indexed="53"/>
        <rFont val="Arial"/>
        <family val="2"/>
      </rPr>
      <t xml:space="preserve">     </t>
    </r>
    <r>
      <rPr>
        <b/>
        <sz val="12"/>
        <color indexed="53"/>
        <rFont val="맑은 고딕"/>
        <family val="3"/>
        <charset val="129"/>
      </rPr>
      <t>계</t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</si>
  <si>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재무상태표</t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</si>
  <si>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손익계산서</t>
    </r>
    <phoneticPr fontId="2" type="noConversion"/>
  </si>
  <si>
    <r>
      <t xml:space="preserve">&gt;&gt;&gt; </t>
    </r>
    <r>
      <rPr>
        <b/>
        <sz val="9"/>
        <color indexed="53"/>
        <rFont val="맑은 고딕"/>
        <family val="3"/>
        <charset val="129"/>
      </rPr>
      <t>카드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자산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건전성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및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충당금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현황</t>
    </r>
    <phoneticPr fontId="2" type="noConversion"/>
  </si>
  <si>
    <r>
      <t xml:space="preserve">&gt;&gt;&gt; </t>
    </r>
    <r>
      <rPr>
        <b/>
        <sz val="9"/>
        <color indexed="53"/>
        <rFont val="맑은 고딕"/>
        <family val="3"/>
        <charset val="129"/>
      </rPr>
      <t>차주별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건전성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및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충당금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현황</t>
    </r>
    <phoneticPr fontId="2" type="noConversion"/>
  </si>
  <si>
    <t>충당금/고정이하</t>
    <phoneticPr fontId="2" type="noConversion"/>
  </si>
  <si>
    <t>3Q14</t>
    <phoneticPr fontId="2" type="noConversion"/>
  </si>
  <si>
    <t>4Q14</t>
    <phoneticPr fontId="2" type="noConversion"/>
  </si>
  <si>
    <r>
      <t>□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자산건전성</t>
    </r>
    <phoneticPr fontId="2" type="noConversion"/>
  </si>
  <si>
    <t xml:space="preserve">    자본조정</t>
    <phoneticPr fontId="2" type="noConversion"/>
  </si>
  <si>
    <t xml:space="preserve">    자본증권 기타자본 인정액</t>
    <phoneticPr fontId="2" type="noConversion"/>
  </si>
  <si>
    <t xml:space="preserve">    자본증권 보완자본 인정액</t>
    <phoneticPr fontId="2" type="noConversion"/>
  </si>
  <si>
    <r>
      <t xml:space="preserve">1) </t>
    </r>
    <r>
      <rPr>
        <b/>
        <sz val="11"/>
        <rFont val="돋움"/>
        <family val="3"/>
        <charset val="129"/>
      </rPr>
      <t>수신현황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은행</t>
    </r>
    <r>
      <rPr>
        <b/>
        <sz val="11"/>
        <rFont val="Arial"/>
        <family val="2"/>
      </rPr>
      <t>)</t>
    </r>
    <phoneticPr fontId="2" type="noConversion"/>
  </si>
  <si>
    <r>
      <t xml:space="preserve">2) </t>
    </r>
    <r>
      <rPr>
        <b/>
        <sz val="11"/>
        <rFont val="돋움"/>
        <family val="3"/>
        <charset val="129"/>
      </rPr>
      <t>여신현황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은행</t>
    </r>
    <r>
      <rPr>
        <b/>
        <sz val="11"/>
        <rFont val="Arial"/>
        <family val="2"/>
      </rPr>
      <t>)</t>
    </r>
    <phoneticPr fontId="2" type="noConversion"/>
  </si>
  <si>
    <r>
      <t xml:space="preserve">3) </t>
    </r>
    <r>
      <rPr>
        <b/>
        <sz val="11"/>
        <rFont val="돋움"/>
        <family val="3"/>
        <charset val="129"/>
      </rPr>
      <t>자산건전성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은행</t>
    </r>
    <r>
      <rPr>
        <b/>
        <sz val="11"/>
        <rFont val="Arial"/>
        <family val="2"/>
      </rPr>
      <t>)</t>
    </r>
    <phoneticPr fontId="2" type="noConversion"/>
  </si>
  <si>
    <r>
      <t xml:space="preserve">1) </t>
    </r>
    <r>
      <rPr>
        <b/>
        <sz val="11"/>
        <rFont val="돋움"/>
        <family val="3"/>
        <charset val="129"/>
      </rPr>
      <t>연결재무제표</t>
    </r>
    <phoneticPr fontId="2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</si>
  <si>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연결재무상태표</t>
    </r>
    <phoneticPr fontId="2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</si>
  <si>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연결손익계산서</t>
    </r>
    <phoneticPr fontId="2" type="noConversion"/>
  </si>
  <si>
    <t>연결재무상태표</t>
    <phoneticPr fontId="2" type="noConversion"/>
  </si>
  <si>
    <t>연결손익계산서</t>
    <phoneticPr fontId="2" type="noConversion"/>
  </si>
  <si>
    <t>수신구성</t>
    <phoneticPr fontId="2" type="noConversion"/>
  </si>
  <si>
    <t>자산건전성 (연결)</t>
    <phoneticPr fontId="2" type="noConversion"/>
  </si>
  <si>
    <r>
      <t xml:space="preserve">2) </t>
    </r>
    <r>
      <rPr>
        <b/>
        <sz val="11"/>
        <rFont val="돋움"/>
        <family val="3"/>
        <charset val="129"/>
      </rPr>
      <t>자산건전성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연결</t>
    </r>
    <r>
      <rPr>
        <b/>
        <sz val="11"/>
        <rFont val="Arial"/>
        <family val="2"/>
      </rPr>
      <t>)</t>
    </r>
    <phoneticPr fontId="2" type="noConversion"/>
  </si>
  <si>
    <t xml:space="preserve">   일반관리비</t>
    <phoneticPr fontId="2" type="noConversion"/>
  </si>
  <si>
    <t>1Q15</t>
    <phoneticPr fontId="2" type="noConversion"/>
  </si>
  <si>
    <r>
      <t xml:space="preserve">시장성예금 </t>
    </r>
    <r>
      <rPr>
        <vertAlign val="superscript"/>
        <sz val="9"/>
        <rFont val="굴림"/>
        <family val="3"/>
        <charset val="129"/>
      </rPr>
      <t>2</t>
    </r>
    <phoneticPr fontId="2" type="noConversion"/>
  </si>
  <si>
    <r>
      <t xml:space="preserve">시장성예금 </t>
    </r>
    <r>
      <rPr>
        <vertAlign val="superscript"/>
        <sz val="9"/>
        <rFont val="굴림"/>
        <family val="3"/>
        <charset val="129"/>
      </rPr>
      <t>2</t>
    </r>
    <phoneticPr fontId="2" type="noConversion"/>
  </si>
  <si>
    <t xml:space="preserve">저축성예금 </t>
    <phoneticPr fontId="2" type="noConversion"/>
  </si>
  <si>
    <t>2. CD + R P + 표지어음</t>
    <phoneticPr fontId="2" type="noConversion"/>
  </si>
  <si>
    <r>
      <t xml:space="preserve">* 1) </t>
    </r>
    <r>
      <rPr>
        <sz val="8"/>
        <rFont val="돋움"/>
        <family val="3"/>
        <charset val="129"/>
      </rPr>
      <t>우리금융지주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흡수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합병에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따라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추가된</t>
    </r>
    <r>
      <rPr>
        <sz val="8"/>
        <rFont val="Arial"/>
        <family val="2"/>
      </rPr>
      <t xml:space="preserve"> 5</t>
    </r>
    <r>
      <rPr>
        <sz val="8"/>
        <rFont val="돋움"/>
        <family val="3"/>
        <charset val="129"/>
      </rPr>
      <t>개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자회사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위험가중자산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제외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기준</t>
    </r>
    <phoneticPr fontId="2" type="noConversion"/>
  </si>
  <si>
    <r>
      <t>NIM (</t>
    </r>
    <r>
      <rPr>
        <b/>
        <sz val="15"/>
        <color indexed="56"/>
        <rFont val="돋움"/>
        <family val="3"/>
        <charset val="129"/>
      </rPr>
      <t>은행</t>
    </r>
    <r>
      <rPr>
        <b/>
        <sz val="15"/>
        <color indexed="56"/>
        <rFont val="Arial"/>
        <family val="2"/>
      </rPr>
      <t>+</t>
    </r>
    <r>
      <rPr>
        <b/>
        <sz val="15"/>
        <color indexed="56"/>
        <rFont val="돋움"/>
        <family val="3"/>
        <charset val="129"/>
      </rPr>
      <t>카드</t>
    </r>
    <r>
      <rPr>
        <b/>
        <sz val="15"/>
        <color indexed="56"/>
        <rFont val="Arial"/>
        <family val="2"/>
      </rPr>
      <t>)</t>
    </r>
    <phoneticPr fontId="2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</si>
  <si>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누적기준</t>
    </r>
    <phoneticPr fontId="2" type="noConversion"/>
  </si>
  <si>
    <r>
      <t>(단위: 십억원</t>
    </r>
    <r>
      <rPr>
        <sz val="8"/>
        <rFont val="굴림"/>
        <family val="3"/>
        <charset val="129"/>
      </rPr>
      <t>)</t>
    </r>
    <phoneticPr fontId="2" type="noConversion"/>
  </si>
  <si>
    <r>
      <rPr>
        <b/>
        <sz val="9"/>
        <rFont val="돋움"/>
        <family val="3"/>
        <charset val="129"/>
      </rPr>
      <t>은행</t>
    </r>
    <r>
      <rPr>
        <b/>
        <sz val="9"/>
        <rFont val="Arial"/>
        <family val="2"/>
      </rPr>
      <t>+</t>
    </r>
    <r>
      <rPr>
        <b/>
        <sz val="9"/>
        <rFont val="돋움"/>
        <family val="3"/>
        <charset val="129"/>
      </rPr>
      <t>카드</t>
    </r>
    <phoneticPr fontId="2" type="noConversion"/>
  </si>
  <si>
    <t>NIM</t>
    <phoneticPr fontId="2" type="noConversion"/>
  </si>
  <si>
    <t>우리은행</t>
    <phoneticPr fontId="2" type="noConversion"/>
  </si>
  <si>
    <t>우리카드</t>
    <phoneticPr fontId="2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</si>
  <si>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분기기준</t>
    </r>
    <phoneticPr fontId="2" type="noConversion"/>
  </si>
  <si>
    <r>
      <t>(단위: 십억원</t>
    </r>
    <r>
      <rPr>
        <sz val="8"/>
        <rFont val="굴림"/>
        <family val="3"/>
        <charset val="129"/>
      </rPr>
      <t>)</t>
    </r>
    <phoneticPr fontId="2" type="noConversion"/>
  </si>
  <si>
    <r>
      <rPr>
        <b/>
        <sz val="9"/>
        <rFont val="돋움"/>
        <family val="3"/>
        <charset val="129"/>
      </rPr>
      <t>은행</t>
    </r>
    <r>
      <rPr>
        <b/>
        <sz val="9"/>
        <rFont val="Arial"/>
        <family val="2"/>
      </rPr>
      <t>+</t>
    </r>
    <r>
      <rPr>
        <b/>
        <sz val="9"/>
        <rFont val="돋움"/>
        <family val="3"/>
        <charset val="129"/>
      </rPr>
      <t>카드</t>
    </r>
    <phoneticPr fontId="2" type="noConversion"/>
  </si>
  <si>
    <t>NIM</t>
    <phoneticPr fontId="2" type="noConversion"/>
  </si>
  <si>
    <t>우리은행</t>
    <phoneticPr fontId="2" type="noConversion"/>
  </si>
  <si>
    <t>우리카드</t>
    <phoneticPr fontId="2" type="noConversion"/>
  </si>
  <si>
    <t>p.12</t>
  </si>
  <si>
    <r>
      <t xml:space="preserve">1) </t>
    </r>
    <r>
      <rPr>
        <b/>
        <sz val="11"/>
        <rFont val="돋움"/>
        <family val="3"/>
        <charset val="129"/>
      </rPr>
      <t>수익성</t>
    </r>
    <r>
      <rPr>
        <b/>
        <sz val="11"/>
        <rFont val="Arial"/>
        <family val="2"/>
      </rPr>
      <t xml:space="preserve"> </t>
    </r>
    <phoneticPr fontId="2" type="noConversion"/>
  </si>
  <si>
    <t>p.21</t>
    <phoneticPr fontId="2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</si>
  <si>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NIM (</t>
    </r>
    <r>
      <rPr>
        <sz val="10"/>
        <color indexed="8"/>
        <rFont val="맑은 고딕"/>
        <family val="3"/>
        <charset val="129"/>
      </rPr>
      <t>은행</t>
    </r>
    <r>
      <rPr>
        <sz val="10"/>
        <color indexed="8"/>
        <rFont val="Arial"/>
        <family val="2"/>
      </rPr>
      <t>+</t>
    </r>
    <r>
      <rPr>
        <sz val="10"/>
        <color indexed="8"/>
        <rFont val="맑은 고딕"/>
        <family val="3"/>
        <charset val="129"/>
      </rPr>
      <t>카드</t>
    </r>
    <r>
      <rPr>
        <sz val="10"/>
        <color indexed="8"/>
        <rFont val="Arial"/>
        <family val="2"/>
      </rPr>
      <t>)</t>
    </r>
    <phoneticPr fontId="2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</si>
  <si>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NIM/NIS (</t>
    </r>
    <r>
      <rPr>
        <sz val="10"/>
        <color indexed="8"/>
        <rFont val="맑은 고딕"/>
        <family val="3"/>
        <charset val="129"/>
      </rPr>
      <t>은행</t>
    </r>
    <r>
      <rPr>
        <sz val="10"/>
        <color indexed="8"/>
        <rFont val="Arial"/>
        <family val="2"/>
      </rPr>
      <t>)</t>
    </r>
    <phoneticPr fontId="2" type="noConversion"/>
  </si>
  <si>
    <r>
      <t xml:space="preserve">    </t>
    </r>
    <r>
      <rPr>
        <sz val="9"/>
        <rFont val="돋움"/>
        <family val="3"/>
        <charset val="129"/>
      </rPr>
      <t>이자이익</t>
    </r>
    <phoneticPr fontId="2" type="noConversion"/>
  </si>
  <si>
    <r>
      <t xml:space="preserve">    </t>
    </r>
    <r>
      <rPr>
        <sz val="9"/>
        <rFont val="돋움"/>
        <family val="3"/>
        <charset val="129"/>
      </rPr>
      <t>이자수익자산평잔</t>
    </r>
    <phoneticPr fontId="2" type="noConversion"/>
  </si>
  <si>
    <r>
      <t xml:space="preserve">    </t>
    </r>
    <r>
      <rPr>
        <sz val="9"/>
        <rFont val="돋움"/>
        <family val="3"/>
        <charset val="129"/>
      </rPr>
      <t>이자이익</t>
    </r>
    <phoneticPr fontId="2" type="noConversion"/>
  </si>
  <si>
    <r>
      <t xml:space="preserve">    </t>
    </r>
    <r>
      <rPr>
        <sz val="9"/>
        <rFont val="돋움"/>
        <family val="3"/>
        <charset val="129"/>
      </rPr>
      <t>이자수익자산평잔</t>
    </r>
    <phoneticPr fontId="2" type="noConversion"/>
  </si>
  <si>
    <t>여신 만기구조</t>
    <phoneticPr fontId="2" type="noConversion"/>
  </si>
  <si>
    <t>2Q15</t>
    <phoneticPr fontId="2" type="noConversion"/>
  </si>
  <si>
    <t xml:space="preserve">차주별 자산건전성 (은행)                       </t>
    <phoneticPr fontId="2" type="noConversion"/>
  </si>
  <si>
    <t>차주별 연체율 (은행)</t>
    <phoneticPr fontId="2" type="noConversion"/>
  </si>
  <si>
    <t>중소기업여신의 산업별 연체현황 (은행)</t>
    <phoneticPr fontId="2" type="noConversion"/>
  </si>
  <si>
    <t>기업여신의 산업별 연체현황 (은행)</t>
    <phoneticPr fontId="2" type="noConversion"/>
  </si>
  <si>
    <t>3Q15</t>
    <phoneticPr fontId="2" type="noConversion"/>
  </si>
  <si>
    <t>금액</t>
    <phoneticPr fontId="2" type="noConversion"/>
  </si>
  <si>
    <t>4Q15</t>
    <phoneticPr fontId="2" type="noConversion"/>
  </si>
  <si>
    <t>FY15</t>
    <phoneticPr fontId="2" type="noConversion"/>
  </si>
  <si>
    <t>1Q16</t>
    <phoneticPr fontId="2" type="noConversion"/>
  </si>
  <si>
    <r>
      <t xml:space="preserve">NIM / NIS </t>
    </r>
    <r>
      <rPr>
        <b/>
        <sz val="15"/>
        <color indexed="56"/>
        <rFont val="맑은 고딕"/>
        <family val="3"/>
        <charset val="129"/>
      </rPr>
      <t>(은행)</t>
    </r>
    <phoneticPr fontId="2" type="noConversion"/>
  </si>
  <si>
    <t>회사별 손익구성</t>
    <phoneticPr fontId="2" type="noConversion"/>
  </si>
  <si>
    <r>
      <rPr>
        <sz val="9"/>
        <color indexed="9"/>
        <rFont val="돋움"/>
        <family val="3"/>
        <charset val="129"/>
      </rPr>
      <t>비은행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돋움"/>
        <family val="3"/>
        <charset val="129"/>
      </rPr>
      <t>부문</t>
    </r>
    <phoneticPr fontId="2" type="noConversion"/>
  </si>
  <si>
    <t>우리은행
(연결)</t>
    <phoneticPr fontId="2" type="noConversion"/>
  </si>
  <si>
    <t>우리종금</t>
    <phoneticPr fontId="2" type="noConversion"/>
  </si>
  <si>
    <t>순영업수익 (A=B+C)</t>
    <phoneticPr fontId="2" type="noConversion"/>
  </si>
  <si>
    <t xml:space="preserve">    이자이익 (B)</t>
    <phoneticPr fontId="2" type="noConversion"/>
  </si>
  <si>
    <t xml:space="preserve">    비이자이익 (C)</t>
    <phoneticPr fontId="2" type="noConversion"/>
  </si>
  <si>
    <t>판매관리비</t>
    <phoneticPr fontId="2" type="noConversion"/>
  </si>
  <si>
    <t>충당금적립전이익</t>
  </si>
  <si>
    <t>법인세 차감전 이익</t>
    <phoneticPr fontId="2" type="noConversion"/>
  </si>
  <si>
    <r>
      <t>당기순이익</t>
    </r>
    <r>
      <rPr>
        <b/>
        <vertAlign val="superscript"/>
        <sz val="9"/>
        <rFont val="HY견고딕"/>
        <family val="1"/>
        <charset val="129"/>
      </rPr>
      <t>1)</t>
    </r>
    <phoneticPr fontId="2" type="noConversion"/>
  </si>
  <si>
    <r>
      <t>우리은행</t>
    </r>
    <r>
      <rPr>
        <vertAlign val="superscript"/>
        <sz val="9"/>
        <color indexed="9"/>
        <rFont val="돋움"/>
        <family val="3"/>
        <charset val="129"/>
      </rPr>
      <t>2)</t>
    </r>
    <phoneticPr fontId="2" type="noConversion"/>
  </si>
  <si>
    <r>
      <t xml:space="preserve">2. </t>
    </r>
    <r>
      <rPr>
        <sz val="8"/>
        <rFont val="돋움"/>
        <family val="3"/>
        <charset val="129"/>
      </rPr>
      <t>우리은행</t>
    </r>
    <r>
      <rPr>
        <sz val="8"/>
        <rFont val="Arial"/>
        <family val="2"/>
      </rPr>
      <t>(</t>
    </r>
    <r>
      <rPr>
        <sz val="8"/>
        <rFont val="돋움"/>
        <family val="3"/>
        <charset val="129"/>
      </rPr>
      <t>별도</t>
    </r>
    <r>
      <rPr>
        <sz val="8"/>
        <rFont val="Arial"/>
        <family val="2"/>
      </rPr>
      <t xml:space="preserve">), </t>
    </r>
    <r>
      <rPr>
        <sz val="8"/>
        <rFont val="돋움"/>
        <family val="3"/>
        <charset val="129"/>
      </rPr>
      <t>해외현지법인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및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기타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합산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기준</t>
    </r>
    <phoneticPr fontId="2" type="noConversion"/>
  </si>
  <si>
    <t>2Q16</t>
    <phoneticPr fontId="2" type="noConversion"/>
  </si>
  <si>
    <t>1H16</t>
    <phoneticPr fontId="2" type="noConversion"/>
  </si>
  <si>
    <t>1Q16</t>
    <phoneticPr fontId="2" type="noConversion"/>
  </si>
  <si>
    <t>1Q16</t>
    <phoneticPr fontId="2" type="noConversion"/>
  </si>
  <si>
    <t>1Q16</t>
    <phoneticPr fontId="2" type="noConversion"/>
  </si>
  <si>
    <r>
      <rPr>
        <sz val="9"/>
        <color indexed="9"/>
        <rFont val="돋움"/>
        <family val="3"/>
        <charset val="129"/>
      </rPr>
      <t>분기중</t>
    </r>
  </si>
  <si>
    <t>3Q16</t>
    <phoneticPr fontId="2" type="noConversion"/>
  </si>
  <si>
    <t>분기중</t>
    <phoneticPr fontId="2" type="noConversion"/>
  </si>
  <si>
    <t>4Q16</t>
    <phoneticPr fontId="2" type="noConversion"/>
  </si>
  <si>
    <t>4Q16</t>
    <phoneticPr fontId="2" type="noConversion"/>
  </si>
  <si>
    <t>FY16</t>
    <phoneticPr fontId="2" type="noConversion"/>
  </si>
  <si>
    <t>4Q16</t>
    <phoneticPr fontId="2" type="noConversion"/>
  </si>
  <si>
    <t>4Q16</t>
    <phoneticPr fontId="2" type="noConversion"/>
  </si>
  <si>
    <t>4Q16</t>
    <phoneticPr fontId="2" type="noConversion"/>
  </si>
  <si>
    <t>FY2016</t>
    <phoneticPr fontId="2" type="noConversion"/>
  </si>
  <si>
    <t>4Q16</t>
    <phoneticPr fontId="2" type="noConversion"/>
  </si>
  <si>
    <t>* 1) 충당금: 대손충당금+미수수익충당금+대손준비금</t>
    <phoneticPr fontId="2" type="noConversion"/>
  </si>
  <si>
    <t>2)</t>
    <phoneticPr fontId="2" type="noConversion"/>
  </si>
  <si>
    <t>3)</t>
    <phoneticPr fontId="2" type="noConversion"/>
  </si>
  <si>
    <t>1) 2)</t>
    <phoneticPr fontId="2" type="noConversion"/>
  </si>
  <si>
    <t>1) 3)</t>
    <phoneticPr fontId="2" type="noConversion"/>
  </si>
  <si>
    <r>
      <t xml:space="preserve">    </t>
    </r>
    <r>
      <rPr>
        <sz val="9"/>
        <rFont val="돋움"/>
        <family val="3"/>
        <charset val="129"/>
      </rPr>
      <t>이자비용</t>
    </r>
    <phoneticPr fontId="2" type="noConversion"/>
  </si>
  <si>
    <r>
      <rPr>
        <sz val="10"/>
        <rFont val="맑은 고딕"/>
        <family val="3"/>
        <charset val="129"/>
      </rPr>
      <t>□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회사별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손익구성</t>
    </r>
    <phoneticPr fontId="2" type="noConversion"/>
  </si>
  <si>
    <t>1Q17</t>
    <phoneticPr fontId="2" type="noConversion"/>
  </si>
  <si>
    <t>1Q17</t>
    <phoneticPr fontId="2" type="noConversion"/>
  </si>
  <si>
    <t>4Q16</t>
    <phoneticPr fontId="2" type="noConversion"/>
  </si>
  <si>
    <t>3Q16</t>
    <phoneticPr fontId="2" type="noConversion"/>
  </si>
  <si>
    <t>2Q16</t>
    <phoneticPr fontId="2" type="noConversion"/>
  </si>
  <si>
    <t>1Q16</t>
    <phoneticPr fontId="2" type="noConversion"/>
  </si>
  <si>
    <t>4Q15</t>
    <phoneticPr fontId="2" type="noConversion"/>
  </si>
  <si>
    <t>1Q17</t>
    <phoneticPr fontId="2" type="noConversion"/>
  </si>
  <si>
    <t>1Q17</t>
    <phoneticPr fontId="2" type="noConversion"/>
  </si>
  <si>
    <t>* 2017년 3월 31일 기준</t>
    <phoneticPr fontId="2" type="noConversion"/>
  </si>
  <si>
    <t>FY16</t>
    <phoneticPr fontId="2" type="noConversion"/>
  </si>
  <si>
    <t>1Q17</t>
    <phoneticPr fontId="2" type="noConversion"/>
  </si>
  <si>
    <t>1Q17</t>
    <phoneticPr fontId="2" type="noConversion"/>
  </si>
  <si>
    <t>2)</t>
    <phoneticPr fontId="2" type="noConversion"/>
  </si>
  <si>
    <t>3)</t>
    <phoneticPr fontId="2" type="noConversion"/>
  </si>
  <si>
    <t>FY16</t>
    <phoneticPr fontId="2" type="noConversion"/>
  </si>
  <si>
    <t>1Q17</t>
    <phoneticPr fontId="2" type="noConversion"/>
  </si>
  <si>
    <t>* 2017년 3월 31일 기준</t>
    <phoneticPr fontId="2" type="noConversion"/>
  </si>
  <si>
    <t>1Q17</t>
    <phoneticPr fontId="2" type="noConversion"/>
  </si>
  <si>
    <t>1Q17</t>
    <phoneticPr fontId="2" type="noConversion"/>
  </si>
  <si>
    <r>
      <t xml:space="preserve">* 1Q17 </t>
    </r>
    <r>
      <rPr>
        <sz val="8"/>
        <rFont val="돋움"/>
        <family val="3"/>
        <charset val="129"/>
      </rPr>
      <t>수치는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잠정치이며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세부내역은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추후에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확정되므로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미기재</t>
    </r>
    <phoneticPr fontId="2" type="noConversion"/>
  </si>
  <si>
    <t>&gt;&gt;&gt; 1Q 17</t>
    <phoneticPr fontId="2" type="noConversion"/>
  </si>
  <si>
    <t>1Q17</t>
    <phoneticPr fontId="2" type="noConversion"/>
  </si>
  <si>
    <t>1Q17</t>
    <phoneticPr fontId="2" type="noConversion"/>
  </si>
  <si>
    <t>* 2017년 3월말 기준</t>
    <phoneticPr fontId="2" type="noConversion"/>
  </si>
  <si>
    <t>&gt;&gt;&gt; 1Q17</t>
    <phoneticPr fontId="2" type="noConversion"/>
  </si>
  <si>
    <r>
      <rPr>
        <sz val="8"/>
        <color theme="0"/>
        <rFont val="굴림"/>
        <family val="3"/>
        <charset val="129"/>
      </rPr>
      <t>*</t>
    </r>
    <r>
      <rPr>
        <sz val="8"/>
        <rFont val="굴림"/>
        <family val="3"/>
        <charset val="129"/>
      </rPr>
      <t xml:space="preserve"> 2) 대손준비금 제외시 88.1(4Q16), 91.5(1Q17)</t>
    </r>
    <phoneticPr fontId="2" type="noConversion"/>
  </si>
  <si>
    <r>
      <rPr>
        <sz val="8"/>
        <color theme="0"/>
        <rFont val="굴림"/>
        <family val="3"/>
        <charset val="129"/>
      </rPr>
      <t xml:space="preserve">* </t>
    </r>
    <r>
      <rPr>
        <sz val="8"/>
        <rFont val="굴림"/>
        <family val="3"/>
        <charset val="129"/>
      </rPr>
      <t>3) 대손준비금 제외시 48.0(4Q16), 48.5(1Q17)</t>
    </r>
    <phoneticPr fontId="2" type="noConversion"/>
  </si>
  <si>
    <r>
      <rPr>
        <sz val="8"/>
        <color theme="0"/>
        <rFont val="굴림"/>
        <family val="3"/>
        <charset val="129"/>
      </rPr>
      <t xml:space="preserve">* </t>
    </r>
    <r>
      <rPr>
        <sz val="8"/>
        <rFont val="굴림"/>
        <family val="3"/>
        <charset val="129"/>
      </rPr>
      <t>2) 대손준비금 제외시 87.1</t>
    </r>
    <phoneticPr fontId="2" type="noConversion"/>
  </si>
  <si>
    <r>
      <rPr>
        <sz val="8"/>
        <color theme="0"/>
        <rFont val="굴림"/>
        <family val="3"/>
        <charset val="129"/>
      </rPr>
      <t xml:space="preserve">* </t>
    </r>
    <r>
      <rPr>
        <sz val="8"/>
        <rFont val="굴림"/>
        <family val="3"/>
        <charset val="129"/>
      </rPr>
      <t>3) 대손준비금 제외시 49.5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</si>
</sst>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_-;\-* #,##0_-;_-* &quot;-&quot;??_-;_-@_-"/>
    <numFmt numFmtId="177" formatCode="#,##0.000;[Red]\-#,##0.000"/>
    <numFmt numFmtId="178" formatCode="0_ ;[Red]\-0\ "/>
    <numFmt numFmtId="179" formatCode="0_);\(0\)"/>
    <numFmt numFmtId="180" formatCode="0_ "/>
    <numFmt numFmtId="181" formatCode="_(* #,##0.000_);_(* \(#,##0.000\);_(* &quot;-&quot;_);_(@_)"/>
    <numFmt numFmtId="182" formatCode="0.0%"/>
    <numFmt numFmtId="183" formatCode="#,##0.0_);\(#,##0.0\)"/>
    <numFmt numFmtId="184" formatCode="#,##0.0;[Red]\-#,##0.0"/>
    <numFmt numFmtId="185" formatCode="#,##0.0_);[Red]\(#,##0.0\)"/>
    <numFmt numFmtId="186" formatCode="_(* #,##0.0_);_(* \(#,##0.0\);_(* &quot;-&quot;_);_(@_)"/>
    <numFmt numFmtId="187" formatCode="0.0"/>
    <numFmt numFmtId="188" formatCode="0_);[Red]\(0\)"/>
    <numFmt numFmtId="189" formatCode="0.000%"/>
    <numFmt numFmtId="190" formatCode="#,##0;\(#,##0\)"/>
    <numFmt numFmtId="191" formatCode="#,##0.00;\(#,##0.00\)"/>
    <numFmt numFmtId="192" formatCode="_(* #,##0.00_);_(* \(#,##0.00\);_(* &quot;-&quot;_);_(@_)"/>
    <numFmt numFmtId="193" formatCode="#,##0.00000;[Red]\-#,##0.00000"/>
    <numFmt numFmtId="194" formatCode="0.0_ "/>
    <numFmt numFmtId="195" formatCode="0.0_);[Red]\(0.0\)"/>
    <numFmt numFmtId="196" formatCode="#,##0_);\(#,##0\)"/>
    <numFmt numFmtId="197" formatCode="#,##0_ "/>
    <numFmt numFmtId="198" formatCode="_-* #,##0.000_-;\-* #,##0.000_-;_-* &quot;-&quot;_-;_-@_-"/>
    <numFmt numFmtId="199" formatCode="#,##0;&quot;△&quot;#,##0"/>
    <numFmt numFmtId="200" formatCode="0.0000%"/>
    <numFmt numFmtId="201" formatCode="0.00000%"/>
    <numFmt numFmtId="202" formatCode="_ &quot;₩&quot;* #,##0_ ;_ &quot;₩&quot;* \-#,##0_ ;_ &quot;₩&quot;* &quot;-&quot;_ ;_ @_ "/>
    <numFmt numFmtId="203" formatCode="_ * #,##0_ ;_ * \-#,##0_ ;_ * &quot;-&quot;_ ;_ @_ "/>
    <numFmt numFmtId="204" formatCode="_ * #,##0.00_ ;_ * \-#,##0.00_ ;_ * &quot;-&quot;??_ ;_ @_ "/>
    <numFmt numFmtId="205" formatCode="_ &quot;₩&quot;* #,##0.00_ ;_ &quot;₩&quot;* \-#,##0.00_ ;_ &quot;₩&quot;* &quot;-&quot;??_ ;_ @_ "/>
    <numFmt numFmtId="206" formatCode="mmm\.yy"/>
    <numFmt numFmtId="207" formatCode="_(&quot;$&quot;* #,##0_);_(&quot;$&quot;* \(#,##0\);_(&quot;$&quot;* &quot;-&quot;??_);_(@_)"/>
    <numFmt numFmtId="208" formatCode="_ &quot;₩&quot;* #,##0_ ;_ &quot;₩&quot;* &quot;₩&quot;\-#,##0_ ;_ &quot;₩&quot;* &quot;-&quot;_ ;_ @_ "/>
    <numFmt numFmtId="209" formatCode="_ &quot;₩&quot;* #,##0.00_ ;_ &quot;₩&quot;* &quot;₩&quot;\-#,##0.00_ ;_ &quot;₩&quot;* &quot;-&quot;??_ ;_ @_ "/>
    <numFmt numFmtId="210" formatCode="#,##0&quot;台&quot;"/>
    <numFmt numFmtId="211" formatCode="#."/>
    <numFmt numFmtId="212" formatCode="_ &quot;₩&quot;* #,##0_ ;_ &quot;₩&quot;* &quot;₩&quot;\!\-#,##0_ ;_ &quot;₩&quot;* &quot;-&quot;_ ;_ @_ "/>
    <numFmt numFmtId="213" formatCode="&quot;₩&quot;#,##0.00;&quot;₩&quot;&quot;₩&quot;&quot;₩&quot;&quot;₩&quot;&quot;₩&quot;\!\-#,##0.00"/>
    <numFmt numFmtId="214" formatCode="&quot;₩&quot;#,##0_);&quot;₩&quot;&quot;₩&quot;\(&quot;₩&quot;#,##0&quot;₩&quot;&quot;₩&quot;\)"/>
    <numFmt numFmtId="215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16" formatCode="&quot;₩&quot;#,##0.00;&quot;₩&quot;\-#,##0.00"/>
    <numFmt numFmtId="217" formatCode="#,##0;[Red]&quot;△&quot;#,##0"/>
    <numFmt numFmtId="218" formatCode="#,##0;&quot;-&quot;#,##0"/>
    <numFmt numFmtId="219" formatCode="&quot; ￦&quot;#,##0_);&quot;(￦&quot;#,##0\);&quot; ￦&quot;\-_)"/>
    <numFmt numFmtId="220" formatCode="#,##0;[Red]\-#,##0;\-"/>
    <numFmt numFmtId="221" formatCode="###,##0;[Red]&quot;△&quot;###,##0;_-* &quot;-&quot;_-"/>
    <numFmt numFmtId="222" formatCode="#,##0\ "/>
    <numFmt numFmtId="223" formatCode="#,##0.0\ "/>
    <numFmt numFmtId="224" formatCode="\ \ \ \ \ @"/>
    <numFmt numFmtId="225" formatCode="_-&quot;$&quot;* #,##0_-;\-&quot;$&quot;* #,##0_-;_-&quot;$&quot;* &quot;-&quot;_-;_-@_-"/>
    <numFmt numFmtId="226" formatCode="_-&quot;$&quot;* #,##0.00_-;\-&quot;$&quot;* #,##0.00_-;_-&quot;$&quot;* &quot;-&quot;??_-;_-@_-"/>
    <numFmt numFmtId="227" formatCode="_ &quot;$&quot;* #,##0_ ;_ &quot;$&quot;* \-#,##0_ ;_ &quot;$&quot;* &quot;-&quot;_ ;_ @_ "/>
    <numFmt numFmtId="228" formatCode="&quot;₩&quot;#,##0;[Red]&quot;₩&quot;&quot;-&quot;#,##0"/>
    <numFmt numFmtId="229" formatCode="&quot;₩&quot;#,##0.00;[Red]&quot;₩&quot;\-#,##0.00"/>
    <numFmt numFmtId="230" formatCode="_(&quot;$&quot;* #,##0_);_(&quot;$&quot;* \(#,##0\);_(&quot;$&quot;* &quot;-&quot;_);_(@_)"/>
    <numFmt numFmtId="231" formatCode="&quot;$&quot;#,##0_);[Red]\(&quot;$&quot;#,##0\)"/>
    <numFmt numFmtId="232" formatCode="_ &quot;$&quot;* #,##0.00_ ;_ &quot;$&quot;* \-#,##0.00_ ;_ &quot;$&quot;* &quot;-&quot;??_ ;_ @_ "/>
    <numFmt numFmtId="233" formatCode="&quot;₩&quot;#,##0;[Red]&quot;₩&quot;\-#,##0"/>
    <numFmt numFmtId="234" formatCode="_(&quot;$&quot;* #,##0.00_);_(&quot;$&quot;* \(#,##0.00\);_(&quot;$&quot;* &quot;-&quot;??_);_(@_)"/>
    <numFmt numFmtId="235" formatCode="&quot;$&quot;#,##0.00_);[Red]\(&quot;$&quot;#,##0.00\)"/>
    <numFmt numFmtId="236" formatCode="#,##0;[Red]&quot;-&quot;#,##0"/>
    <numFmt numFmtId="237" formatCode="#,##0.00;[Red]&quot;-&quot;#,##0.00"/>
    <numFmt numFmtId="238" formatCode="#,##0.0_ "/>
    <numFmt numFmtId="239" formatCode="General_)"/>
    <numFmt numFmtId="240" formatCode="0.0000000%"/>
    <numFmt numFmtId="241" formatCode="_ * #,##0.0000000_ ;_ * \-#,##0.0000000_ ;_ * &quot;-&quot;_ ;_ @_ "/>
    <numFmt numFmtId="242" formatCode="&quot;₩&quot;#,##0;[Red]&quot;₩&quot;&quot;₩&quot;\-#,##0"/>
    <numFmt numFmtId="243" formatCode="&quot;₩&quot;#,##0;&quot;₩&quot;&quot;₩&quot;&quot;₩&quot;&quot;₩&quot;\-#,##0"/>
    <numFmt numFmtId="244" formatCode="_ * #,##0_ ;_ * &quot;₩&quot;\-#,##0_ ;_ * &quot;-&quot;_ ;_ @_ "/>
    <numFmt numFmtId="245" formatCode="_-[$€-2]* #,##0.00_-;\-[$€-2]* #,##0.00_-;_-[$€-2]* &quot;-&quot;??_-"/>
    <numFmt numFmtId="246" formatCode="&quot;₩&quot;#,##0.00;&quot;₩&quot;&quot;₩&quot;\-#,##0.00"/>
    <numFmt numFmtId="247" formatCode="_ * #,##0.0000_ ;_ * \-#,##0.0000_ ;_ * &quot;-&quot;_ ;_ @_ "/>
    <numFmt numFmtId="248" formatCode="#,##0\ &quot;개&quot;&quot;월&quot;&quot;분&quot;"/>
    <numFmt numFmtId="249" formatCode="#,##0\ &quot;개&quot;&quot;월&quot;"/>
    <numFmt numFmtId="250" formatCode="&quot;₩&quot;#,##0.00;[Red]&quot;₩&quot;&quot;₩&quot;\-#,##0.00"/>
    <numFmt numFmtId="251" formatCode="_ * #,##0.00_ ;_ * \-#,##0.00_ ;_ * &quot;-&quot;_ ;_ @_ "/>
    <numFmt numFmtId="252" formatCode="0.000000%"/>
    <numFmt numFmtId="253" formatCode="#,##0&quot;£&quot;_);[Red]\(#,##0&quot;£&quot;\)"/>
    <numFmt numFmtId="254" formatCode="\(0.0%\)"/>
    <numFmt numFmtId="255" formatCode="#,##0_);[Red]\(#,##0\)"/>
    <numFmt numFmtId="256" formatCode="0.00_);[Red]\(0.00\)"/>
    <numFmt numFmtId="257" formatCode="#,##0.0_ ;[Red]\-#,##0.0\ "/>
  </numFmts>
  <fonts count="267">
    <font>
      <sz val="10"/>
      <color theme="1"/>
      <name val="Arial"/>
      <family val="2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굴림"/>
      <family val="3"/>
      <charset val="129"/>
    </font>
    <font>
      <sz val="9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1"/>
      <name val="굴림"/>
      <family val="3"/>
      <charset val="129"/>
    </font>
    <font>
      <b/>
      <sz val="12"/>
      <color indexed="53"/>
      <name val="Arial"/>
      <family val="2"/>
    </font>
    <font>
      <u/>
      <sz val="9"/>
      <name val="Arial"/>
      <family val="2"/>
    </font>
    <font>
      <b/>
      <sz val="15"/>
      <color indexed="56"/>
      <name val="돋움"/>
      <family val="3"/>
      <charset val="129"/>
    </font>
    <font>
      <sz val="10"/>
      <color indexed="9"/>
      <name val="Arial"/>
      <family val="2"/>
    </font>
    <font>
      <b/>
      <sz val="15"/>
      <color indexed="56"/>
      <name val="Arial"/>
      <family val="2"/>
    </font>
    <font>
      <sz val="18"/>
      <color indexed="10"/>
      <name val="Arial"/>
      <family val="2"/>
    </font>
    <font>
      <b/>
      <sz val="14"/>
      <name val="굴림"/>
      <family val="3"/>
      <charset val="129"/>
    </font>
    <font>
      <u/>
      <sz val="10"/>
      <name val="Arial"/>
      <family val="2"/>
    </font>
    <font>
      <b/>
      <sz val="18"/>
      <color indexed="10"/>
      <name val="Arial"/>
      <family val="2"/>
    </font>
    <font>
      <b/>
      <sz val="12"/>
      <color indexed="53"/>
      <name val="돋움"/>
      <family val="3"/>
      <charset val="129"/>
    </font>
    <font>
      <b/>
      <sz val="20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sz val="9"/>
      <name val="HY견고딕"/>
      <family val="1"/>
      <charset val="129"/>
    </font>
    <font>
      <b/>
      <i/>
      <sz val="12"/>
      <name val="Arial"/>
      <family val="2"/>
    </font>
    <font>
      <b/>
      <sz val="14"/>
      <name val="Arial"/>
      <family val="2"/>
    </font>
    <font>
      <b/>
      <i/>
      <sz val="18"/>
      <color indexed="10"/>
      <name val="Arial"/>
      <family val="2"/>
    </font>
    <font>
      <sz val="8"/>
      <name val="굴림"/>
      <family val="3"/>
      <charset val="129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2"/>
      <name val="바탕체"/>
      <family val="1"/>
      <charset val="129"/>
    </font>
    <font>
      <sz val="10"/>
      <color indexed="9"/>
      <name val="돋움"/>
      <family val="3"/>
      <charset val="129"/>
    </font>
    <font>
      <sz val="9"/>
      <color indexed="9"/>
      <name val="돋움"/>
      <family val="3"/>
      <charset val="129"/>
    </font>
    <font>
      <sz val="9"/>
      <color indexed="9"/>
      <name val="굴림"/>
      <family val="3"/>
      <charset val="129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8"/>
      <color indexed="9"/>
      <name val="굴림"/>
      <family val="3"/>
      <charset val="129"/>
    </font>
    <font>
      <sz val="8"/>
      <color indexed="8"/>
      <name val="Arial"/>
      <family val="2"/>
    </font>
    <font>
      <sz val="7"/>
      <color indexed="9"/>
      <name val="Arial"/>
      <family val="2"/>
    </font>
    <font>
      <b/>
      <sz val="11"/>
      <color indexed="10"/>
      <name val="돋움"/>
      <family val="3"/>
      <charset val="129"/>
    </font>
    <font>
      <b/>
      <sz val="7"/>
      <name val="Arial"/>
      <family val="2"/>
    </font>
    <font>
      <sz val="7"/>
      <name val="Arial"/>
      <family val="2"/>
    </font>
    <font>
      <sz val="12"/>
      <name val="돋움"/>
      <family val="3"/>
      <charset val="129"/>
    </font>
    <font>
      <b/>
      <sz val="8"/>
      <name val="굴림"/>
      <family val="3"/>
      <charset val="129"/>
    </font>
    <font>
      <sz val="14"/>
      <name val="굴림"/>
      <family val="3"/>
      <charset val="129"/>
    </font>
    <font>
      <sz val="5.5"/>
      <name val="Arial"/>
      <family val="2"/>
    </font>
    <font>
      <sz val="6"/>
      <name val="Arial"/>
      <family val="2"/>
    </font>
    <font>
      <b/>
      <u/>
      <sz val="8"/>
      <color indexed="9"/>
      <name val="Arial"/>
      <family val="2"/>
    </font>
    <font>
      <b/>
      <u/>
      <sz val="8"/>
      <color indexed="10"/>
      <name val="Arial"/>
      <family val="2"/>
    </font>
    <font>
      <sz val="6"/>
      <name val="굴림"/>
      <family val="3"/>
      <charset val="129"/>
    </font>
    <font>
      <b/>
      <u/>
      <sz val="14"/>
      <color indexed="9"/>
      <name val="Arial"/>
      <family val="2"/>
    </font>
    <font>
      <b/>
      <sz val="9"/>
      <name val="돋움"/>
      <family val="3"/>
      <charset val="129"/>
    </font>
    <font>
      <b/>
      <sz val="8"/>
      <name val="돋움"/>
      <family val="3"/>
      <charset val="129"/>
    </font>
    <font>
      <b/>
      <sz val="15"/>
      <color indexed="10"/>
      <name val="Arial"/>
      <family val="2"/>
    </font>
    <font>
      <b/>
      <sz val="10"/>
      <name val="굴림"/>
      <family val="3"/>
      <charset val="129"/>
    </font>
    <font>
      <b/>
      <sz val="10"/>
      <color indexed="10"/>
      <name val="Arial"/>
      <family val="2"/>
    </font>
    <font>
      <i/>
      <sz val="8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5"/>
      <color indexed="9"/>
      <name val="Arial"/>
      <family val="2"/>
    </font>
    <font>
      <vertAlign val="superscript"/>
      <sz val="10"/>
      <name val="Arial"/>
      <family val="2"/>
    </font>
    <font>
      <sz val="7"/>
      <color indexed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8"/>
      <name val="굴림체"/>
      <family val="3"/>
      <charset val="129"/>
    </font>
    <font>
      <sz val="14"/>
      <name val="Arial"/>
      <family val="2"/>
    </font>
    <font>
      <b/>
      <sz val="10"/>
      <color indexed="9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b/>
      <sz val="9.5"/>
      <name val="돋움"/>
      <family val="3"/>
      <charset val="129"/>
    </font>
    <font>
      <sz val="9"/>
      <color indexed="12"/>
      <name val="Arial"/>
      <family val="2"/>
    </font>
    <font>
      <b/>
      <sz val="15"/>
      <name val="Arial"/>
      <family val="2"/>
    </font>
    <font>
      <sz val="11"/>
      <color indexed="8"/>
      <name val="맑은 고딕"/>
      <family val="3"/>
      <charset val="129"/>
    </font>
    <font>
      <sz val="12"/>
      <name val="¹UAAA¼"/>
      <family val="1"/>
      <charset val="129"/>
    </font>
    <font>
      <sz val="11"/>
      <name val="굴림체"/>
      <family val="3"/>
      <charset val="129"/>
    </font>
    <font>
      <b/>
      <sz val="12"/>
      <name val="굴림체"/>
      <family val="3"/>
      <charset val="129"/>
    </font>
    <font>
      <sz val="12"/>
      <name val="뼻뮝"/>
      <family val="3"/>
      <charset val="129"/>
    </font>
    <font>
      <sz val="12"/>
      <name val="±¼¸²A¼"/>
      <family val="3"/>
      <charset val="129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sz val="12"/>
      <name val="??????"/>
      <family val="3"/>
    </font>
    <font>
      <sz val="12"/>
      <name val="奔覆眉"/>
      <family val="3"/>
      <charset val="129"/>
    </font>
    <font>
      <sz val="11"/>
      <name val="돋?o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2"/>
      <name val="ⓒoUAAA¨u"/>
      <family val="1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sz val="10"/>
      <name val="굴림체"/>
      <family val="3"/>
      <charset val="129"/>
    </font>
    <font>
      <u/>
      <sz val="10"/>
      <color indexed="36"/>
      <name val="MS Sans Serif"/>
      <family val="2"/>
    </font>
    <font>
      <sz val="14"/>
      <name val="뼻뮝"/>
      <family val="3"/>
      <charset val="129"/>
    </font>
    <font>
      <sz val="11"/>
      <name val="돋움체"/>
      <family val="3"/>
      <charset val="129"/>
    </font>
    <font>
      <sz val="11"/>
      <name val="바탕"/>
      <family val="1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明朝"/>
      <family val="3"/>
      <charset val="129"/>
    </font>
    <font>
      <sz val="11"/>
      <name val="ＭＳ Ｐゴシック"/>
      <family val="2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¡¾¨????÷A¨?"/>
      <family val="3"/>
      <charset val="129"/>
    </font>
    <font>
      <sz val="12"/>
      <name val="¡¾¨ù¢¬©÷A¨ù"/>
      <family val="3"/>
      <charset val="129"/>
    </font>
    <font>
      <sz val="12"/>
      <name val="±¼¸²Ã¼"/>
      <family val="3"/>
      <charset val="129"/>
    </font>
    <font>
      <sz val="11"/>
      <name val="±¼¸²Ã¼"/>
      <family val="3"/>
      <charset val="129"/>
    </font>
    <font>
      <sz val="11"/>
      <name val="µ¸¿ò"/>
      <family val="3"/>
      <charset val="129"/>
    </font>
    <font>
      <sz val="11"/>
      <name val="±¼¸²A¼"/>
      <family val="3"/>
      <charset val="129"/>
    </font>
    <font>
      <sz val="10"/>
      <name val="MS Serif"/>
      <family val="1"/>
    </font>
    <font>
      <u val="doubleAccounting"/>
      <sz val="10"/>
      <name val="Arial"/>
      <family val="2"/>
    </font>
    <font>
      <sz val="10"/>
      <color indexed="16"/>
      <name val="MS Serif"/>
      <family val="1"/>
    </font>
    <font>
      <u/>
      <sz val="10"/>
      <color indexed="14"/>
      <name val="MS Sans Serif"/>
      <family val="2"/>
    </font>
    <font>
      <b/>
      <sz val="18"/>
      <name val="Arial"/>
      <family val="2"/>
    </font>
    <font>
      <b/>
      <i/>
      <sz val="22"/>
      <name val="Times New Roman"/>
      <family val="1"/>
    </font>
    <font>
      <u/>
      <sz val="8.4"/>
      <color indexed="12"/>
      <name val="Arial"/>
      <family val="2"/>
    </font>
    <font>
      <b/>
      <sz val="16"/>
      <name val="Times New Roman"/>
      <family val="1"/>
    </font>
    <font>
      <sz val="10"/>
      <color indexed="12"/>
      <name val="Arial"/>
      <family val="2"/>
    </font>
    <font>
      <sz val="10"/>
      <name val="Times New Roman"/>
      <family val="1"/>
    </font>
    <font>
      <u/>
      <sz val="10"/>
      <color indexed="9"/>
      <name val="Arial"/>
      <family val="2"/>
    </font>
    <font>
      <b/>
      <sz val="14"/>
      <color indexed="24"/>
      <name val="Book Antiqua"/>
      <family val="1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sz val="12"/>
      <name val="ｱｼｸｲﾃｼ"/>
      <family val="3"/>
    </font>
    <font>
      <sz val="12"/>
      <name val="Tms Rmn"/>
      <family val="1"/>
    </font>
    <font>
      <sz val="11"/>
      <color indexed="8"/>
      <name val="돋움"/>
      <family val="3"/>
      <charset val="129"/>
    </font>
    <font>
      <b/>
      <sz val="15"/>
      <color indexed="8"/>
      <name val="Arial"/>
      <family val="2"/>
    </font>
    <font>
      <i/>
      <sz val="9"/>
      <name val="Arial"/>
      <family val="2"/>
    </font>
    <font>
      <b/>
      <u/>
      <sz val="14"/>
      <color indexed="10"/>
      <name val="Arial"/>
      <family val="2"/>
    </font>
    <font>
      <sz val="12"/>
      <color indexed="9"/>
      <name val="Arial"/>
      <family val="2"/>
    </font>
    <font>
      <b/>
      <sz val="9"/>
      <color indexed="53"/>
      <name val="Arial"/>
      <family val="2"/>
    </font>
    <font>
      <b/>
      <sz val="16"/>
      <color indexed="9"/>
      <name val="Arial"/>
      <family val="2"/>
    </font>
    <font>
      <b/>
      <sz val="16"/>
      <color indexed="56"/>
      <name val="Arial"/>
      <family val="2"/>
    </font>
    <font>
      <u/>
      <sz val="11"/>
      <name val="Arial"/>
      <family val="2"/>
    </font>
    <font>
      <sz val="9"/>
      <name val="HY견고딕"/>
      <family val="1"/>
      <charset val="129"/>
    </font>
    <font>
      <b/>
      <sz val="8"/>
      <name val="HY견고딕"/>
      <family val="1"/>
      <charset val="129"/>
    </font>
    <font>
      <sz val="9"/>
      <name val="굴림체"/>
      <family val="3"/>
      <charset val="129"/>
    </font>
    <font>
      <sz val="8"/>
      <name val="굴림체"/>
      <family val="3"/>
      <charset val="129"/>
    </font>
    <font>
      <b/>
      <sz val="10"/>
      <name val="돋움"/>
      <family val="3"/>
      <charset val="129"/>
    </font>
    <font>
      <sz val="9"/>
      <name val="돋움"/>
      <family val="3"/>
      <charset val="129"/>
    </font>
    <font>
      <sz val="8"/>
      <name val="맑은 고딕"/>
      <family val="3"/>
      <charset val="129"/>
    </font>
    <font>
      <sz val="10"/>
      <name val="돋움"/>
      <family val="3"/>
      <charset val="129"/>
    </font>
    <font>
      <sz val="9"/>
      <color indexed="8"/>
      <name val="돋움"/>
      <family val="3"/>
      <charset val="129"/>
    </font>
    <font>
      <b/>
      <sz val="14"/>
      <color indexed="9"/>
      <name val="Arial"/>
      <family val="2"/>
    </font>
    <font>
      <b/>
      <sz val="14"/>
      <color indexed="53"/>
      <name val="Arial"/>
      <family val="2"/>
    </font>
    <font>
      <u/>
      <sz val="14"/>
      <name val="Arial"/>
      <family val="2"/>
    </font>
    <font>
      <b/>
      <sz val="11"/>
      <name val="돋움"/>
      <family val="3"/>
      <charset val="129"/>
    </font>
    <font>
      <sz val="10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12"/>
      <name val="맑은 고딕"/>
      <family val="3"/>
      <charset val="129"/>
    </font>
    <font>
      <sz val="9"/>
      <name val="맑은 고딕"/>
      <family val="3"/>
      <charset val="129"/>
    </font>
    <font>
      <u/>
      <sz val="12"/>
      <name val="맑은 고딕"/>
      <family val="3"/>
      <charset val="129"/>
    </font>
    <font>
      <u/>
      <sz val="10"/>
      <name val="맑은 고딕"/>
      <family val="3"/>
      <charset val="129"/>
    </font>
    <font>
      <b/>
      <sz val="12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b/>
      <sz val="9"/>
      <name val="맑은 고딕"/>
      <family val="3"/>
      <charset val="129"/>
    </font>
    <font>
      <u/>
      <sz val="9"/>
      <name val="맑은 고딕"/>
      <family val="3"/>
      <charset val="129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vertAlign val="superscript"/>
      <sz val="9"/>
      <name val="굴림"/>
      <family val="3"/>
      <charset val="129"/>
    </font>
    <font>
      <b/>
      <sz val="9"/>
      <color indexed="12"/>
      <name val="Arial"/>
      <family val="2"/>
    </font>
    <font>
      <b/>
      <sz val="14"/>
      <color indexed="9"/>
      <name val="HY헤드라인M"/>
      <family val="1"/>
      <charset val="129"/>
    </font>
    <font>
      <b/>
      <sz val="15"/>
      <color indexed="56"/>
      <name val="HY헤드라인M"/>
      <family val="1"/>
      <charset val="129"/>
    </font>
    <font>
      <sz val="10"/>
      <name val="맑은 고딕"/>
      <family val="3"/>
      <charset val="129"/>
    </font>
    <font>
      <b/>
      <sz val="12"/>
      <color indexed="53"/>
      <name val="맑은 고딕"/>
      <family val="3"/>
      <charset val="129"/>
    </font>
    <font>
      <b/>
      <sz val="12"/>
      <color indexed="53"/>
      <name val="맑은 고딕"/>
      <family val="3"/>
      <charset val="129"/>
    </font>
    <font>
      <sz val="10"/>
      <color indexed="8"/>
      <name val="HY헤드라인M"/>
      <family val="1"/>
      <charset val="129"/>
    </font>
    <font>
      <b/>
      <sz val="9"/>
      <color indexed="53"/>
      <name val="맑은 고딕"/>
      <family val="3"/>
      <charset val="129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5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돋움"/>
      <family val="3"/>
      <charset val="129"/>
    </font>
    <font>
      <sz val="10"/>
      <color indexed="8"/>
      <name val="맑은 고딕"/>
      <family val="3"/>
      <charset val="129"/>
    </font>
    <font>
      <sz val="26"/>
      <name val="돋움"/>
      <family val="3"/>
      <charset val="129"/>
    </font>
    <font>
      <sz val="8"/>
      <color indexed="9"/>
      <name val="돋움"/>
      <family val="3"/>
      <charset val="129"/>
    </font>
    <font>
      <b/>
      <vertAlign val="superscript"/>
      <sz val="9"/>
      <name val="Arial"/>
      <family val="2"/>
    </font>
    <font>
      <b/>
      <sz val="15"/>
      <color indexed="56"/>
      <name val="맑은 고딕"/>
      <family val="3"/>
      <charset val="129"/>
    </font>
    <font>
      <sz val="12"/>
      <name val="굴림"/>
      <family val="3"/>
      <charset val="129"/>
    </font>
    <font>
      <b/>
      <i/>
      <sz val="9"/>
      <name val="HY견고딕"/>
      <family val="1"/>
      <charset val="129"/>
    </font>
    <font>
      <b/>
      <i/>
      <sz val="9"/>
      <name val="Arial"/>
      <family val="2"/>
    </font>
    <font>
      <b/>
      <vertAlign val="superscript"/>
      <sz val="9"/>
      <name val="HY견고딕"/>
      <family val="1"/>
      <charset val="129"/>
    </font>
    <font>
      <vertAlign val="superscript"/>
      <sz val="9"/>
      <color indexed="9"/>
      <name val="돋움"/>
      <family val="3"/>
      <charset val="129"/>
    </font>
    <font>
      <sz val="10"/>
      <color theme="1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theme="0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rgb="FFFA7D00"/>
      <name val="돋움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0006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C6500"/>
      <name val="돋움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7F7F7F"/>
      <name val="돋움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theme="0"/>
      <name val="돋움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rgb="FFFA7D0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rgb="FF3F3F76"/>
      <name val="돋움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5"/>
      <color theme="3"/>
      <name val="돋움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theme="3"/>
      <name val="돋움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theme="3"/>
      <name val="돋움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6100"/>
      <name val="돋움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F3F3F"/>
      <name val="돋움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Arial"/>
      <family val="2"/>
    </font>
    <font>
      <b/>
      <u/>
      <sz val="14"/>
      <color rgb="FFFF0000"/>
      <name val="돋움"/>
      <family val="3"/>
      <charset val="129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vertAlign val="superscript"/>
      <sz val="9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theme="0"/>
      <name val="굴림"/>
      <family val="3"/>
      <charset val="129"/>
    </font>
    <font>
      <vertAlign val="superscript"/>
      <sz val="9"/>
      <color theme="1"/>
      <name val="Arial"/>
      <family val="2"/>
    </font>
    <font>
      <sz val="8"/>
      <color rgb="FFFF0000"/>
      <name val="돋움"/>
      <family val="3"/>
      <charset val="129"/>
    </font>
    <font>
      <sz val="8"/>
      <color theme="1"/>
      <name val="맑은 고딕"/>
      <family val="3"/>
      <charset val="129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</fills>
  <borders count="1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48"/>
      </right>
      <top style="medium">
        <color indexed="48"/>
      </top>
      <bottom style="dashed">
        <color indexed="4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23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8"/>
      </top>
      <bottom style="dotted">
        <color indexed="48"/>
      </bottom>
      <diagonal/>
    </border>
    <border>
      <left/>
      <right style="dashed">
        <color indexed="48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48"/>
      </top>
      <bottom style="dashed">
        <color indexed="48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/>
      <top/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 style="medium">
        <color indexed="56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18"/>
      </bottom>
      <diagonal/>
    </border>
    <border>
      <left/>
      <right style="dashed">
        <color indexed="23"/>
      </right>
      <top style="thin">
        <color indexed="23"/>
      </top>
      <bottom style="medium">
        <color indexed="18"/>
      </bottom>
      <diagonal/>
    </border>
    <border>
      <left style="dashed">
        <color indexed="23"/>
      </left>
      <right/>
      <top style="thin">
        <color indexed="23"/>
      </top>
      <bottom style="medium">
        <color indexed="18"/>
      </bottom>
      <diagonal/>
    </border>
    <border>
      <left/>
      <right/>
      <top style="dashed">
        <color indexed="30"/>
      </top>
      <bottom/>
      <diagonal/>
    </border>
    <border>
      <left/>
      <right style="hair">
        <color indexed="64"/>
      </right>
      <top style="medium">
        <color indexed="56"/>
      </top>
      <bottom style="thin">
        <color indexed="23"/>
      </bottom>
      <diagonal/>
    </border>
    <border>
      <left/>
      <right style="hair">
        <color indexed="64"/>
      </right>
      <top/>
      <bottom style="thin">
        <color indexed="23"/>
      </bottom>
      <diagonal/>
    </border>
    <border>
      <left/>
      <right style="hair">
        <color indexed="64"/>
      </right>
      <top style="thin">
        <color indexed="23"/>
      </top>
      <bottom style="medium">
        <color indexed="56"/>
      </bottom>
      <diagonal/>
    </border>
    <border>
      <left/>
      <right/>
      <top style="medium">
        <color indexed="56"/>
      </top>
      <bottom style="thin">
        <color indexed="23"/>
      </bottom>
      <diagonal/>
    </border>
    <border>
      <left style="dashed">
        <color indexed="48"/>
      </left>
      <right/>
      <top style="medium">
        <color indexed="48"/>
      </top>
      <bottom style="dashed">
        <color indexed="48"/>
      </bottom>
      <diagonal/>
    </border>
    <border>
      <left/>
      <right/>
      <top style="medium">
        <color indexed="12"/>
      </top>
      <bottom style="dashed">
        <color indexed="12"/>
      </bottom>
      <diagonal/>
    </border>
    <border>
      <left/>
      <right/>
      <top style="thin">
        <color indexed="9"/>
      </top>
      <bottom/>
      <diagonal/>
    </border>
    <border>
      <left style="hair">
        <color indexed="23"/>
      </left>
      <right/>
      <top style="thin">
        <color indexed="23"/>
      </top>
      <bottom style="thin">
        <color indexed="23"/>
      </bottom>
      <diagonal/>
    </border>
    <border>
      <left style="hair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9"/>
      </right>
      <top style="thin">
        <color indexed="23"/>
      </top>
      <bottom style="thin">
        <color indexed="23"/>
      </bottom>
      <diagonal/>
    </border>
    <border>
      <left/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55"/>
      </left>
      <right/>
      <top style="thin">
        <color indexed="23"/>
      </top>
      <bottom style="thin">
        <color indexed="23"/>
      </bottom>
      <diagonal/>
    </border>
    <border>
      <left style="dashed">
        <color indexed="9"/>
      </left>
      <right/>
      <top style="thin">
        <color indexed="23"/>
      </top>
      <bottom style="medium">
        <color indexed="56"/>
      </bottom>
      <diagonal/>
    </border>
    <border>
      <left style="dashed">
        <color indexed="9"/>
      </left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/>
      <top style="thin">
        <color indexed="23"/>
      </top>
      <bottom style="medium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18"/>
      </bottom>
      <diagonal/>
    </border>
    <border>
      <left style="hair">
        <color indexed="23"/>
      </left>
      <right/>
      <top/>
      <bottom style="thin">
        <color indexed="23"/>
      </bottom>
      <diagonal/>
    </border>
    <border>
      <left/>
      <right style="hair">
        <color indexed="23"/>
      </right>
      <top/>
      <bottom style="thin">
        <color indexed="23"/>
      </bottom>
      <diagonal/>
    </border>
    <border>
      <left style="hair">
        <color indexed="55"/>
      </left>
      <right/>
      <top/>
      <bottom style="thin">
        <color indexed="23"/>
      </bottom>
      <diagonal/>
    </border>
    <border>
      <left/>
      <right/>
      <top style="medium">
        <color indexed="56"/>
      </top>
      <bottom/>
      <diagonal/>
    </border>
    <border>
      <left/>
      <right/>
      <top style="thin">
        <color indexed="23"/>
      </top>
      <bottom style="medium">
        <color indexed="12"/>
      </bottom>
      <diagonal/>
    </border>
    <border>
      <left/>
      <right/>
      <top style="medium">
        <color indexed="30"/>
      </top>
      <bottom/>
      <diagonal/>
    </border>
    <border>
      <left style="hair">
        <color indexed="56"/>
      </left>
      <right/>
      <top style="thin">
        <color indexed="23"/>
      </top>
      <bottom style="thin">
        <color indexed="23"/>
      </bottom>
      <diagonal/>
    </border>
    <border>
      <left style="hair">
        <color indexed="56"/>
      </left>
      <right/>
      <top style="thin">
        <color indexed="23"/>
      </top>
      <bottom/>
      <diagonal/>
    </border>
    <border>
      <left style="hair">
        <color indexed="56"/>
      </left>
      <right/>
      <top style="thin">
        <color indexed="23"/>
      </top>
      <bottom style="medium">
        <color indexed="56"/>
      </bottom>
      <diagonal/>
    </border>
    <border>
      <left style="hair">
        <color indexed="56"/>
      </left>
      <right/>
      <top/>
      <bottom style="thin">
        <color indexed="9"/>
      </bottom>
      <diagonal/>
    </border>
    <border>
      <left/>
      <right style="hair">
        <color indexed="56"/>
      </right>
      <top/>
      <bottom style="thin">
        <color indexed="23"/>
      </bottom>
      <diagonal/>
    </border>
    <border>
      <left style="hair">
        <color indexed="56"/>
      </left>
      <right/>
      <top/>
      <bottom/>
      <diagonal/>
    </border>
    <border>
      <left style="hair">
        <color indexed="8"/>
      </left>
      <right/>
      <top style="thin">
        <color indexed="23"/>
      </top>
      <bottom style="thin">
        <color indexed="23"/>
      </bottom>
      <diagonal/>
    </border>
    <border>
      <left/>
      <right style="hair">
        <color indexed="8"/>
      </right>
      <top style="thin">
        <color indexed="23"/>
      </top>
      <bottom style="thin">
        <color indexed="23"/>
      </bottom>
      <diagonal/>
    </border>
    <border>
      <left style="hair">
        <color indexed="8"/>
      </left>
      <right/>
      <top style="thin">
        <color indexed="23"/>
      </top>
      <bottom style="medium">
        <color indexed="56"/>
      </bottom>
      <diagonal/>
    </border>
    <border>
      <left/>
      <right style="hair">
        <color indexed="8"/>
      </right>
      <top style="thin">
        <color indexed="23"/>
      </top>
      <bottom style="medium">
        <color indexed="56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/>
      <bottom style="medium">
        <color indexed="18"/>
      </bottom>
      <diagonal/>
    </border>
    <border>
      <left/>
      <right style="dashed">
        <color indexed="23"/>
      </right>
      <top/>
      <bottom style="medium">
        <color indexed="1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medium">
        <color indexed="56"/>
      </bottom>
      <diagonal/>
    </border>
    <border>
      <left style="dashed">
        <color indexed="23"/>
      </left>
      <right/>
      <top/>
      <bottom style="medium">
        <color indexed="56"/>
      </bottom>
      <diagonal/>
    </border>
    <border>
      <left style="dashed">
        <color indexed="56"/>
      </left>
      <right/>
      <top/>
      <bottom style="medium">
        <color indexed="56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55"/>
      </top>
      <bottom style="hair">
        <color indexed="56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56"/>
      </top>
      <bottom style="thick">
        <color indexed="56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medium">
        <color indexed="56"/>
      </top>
      <bottom style="thin">
        <color indexed="23"/>
      </bottom>
      <diagonal/>
    </border>
    <border>
      <left/>
      <right style="thin">
        <color indexed="64"/>
      </right>
      <top style="thin">
        <color indexed="55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thick">
        <color indexed="56"/>
      </bottom>
      <diagonal/>
    </border>
    <border>
      <left style="dashed">
        <color indexed="23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dashed">
        <color indexed="23"/>
      </left>
      <right/>
      <top style="thin">
        <color indexed="64"/>
      </top>
      <bottom style="thin">
        <color indexed="23"/>
      </bottom>
      <diagonal/>
    </border>
    <border>
      <left/>
      <right style="dashed">
        <color indexed="48"/>
      </right>
      <top style="medium">
        <color indexed="48"/>
      </top>
      <bottom style="dotted">
        <color indexed="48"/>
      </bottom>
      <diagonal/>
    </border>
    <border>
      <left/>
      <right style="hair">
        <color indexed="23"/>
      </right>
      <top style="thin">
        <color indexed="23"/>
      </top>
      <bottom/>
      <diagonal/>
    </border>
    <border>
      <left/>
      <right style="hair">
        <color indexed="23"/>
      </right>
      <top style="thin">
        <color indexed="23"/>
      </top>
      <bottom style="medium">
        <color indexed="12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36"/>
      </bottom>
      <diagonal/>
    </border>
    <border>
      <left style="dashed">
        <color indexed="64"/>
      </left>
      <right/>
      <top/>
      <bottom/>
      <diagonal/>
    </border>
    <border>
      <left/>
      <right style="hair">
        <color indexed="23"/>
      </right>
      <top style="thin">
        <color indexed="23"/>
      </top>
      <bottom style="medium">
        <color indexed="36"/>
      </bottom>
      <diagonal/>
    </border>
    <border>
      <left/>
      <right/>
      <top/>
      <bottom style="thin">
        <color indexed="9"/>
      </bottom>
      <diagonal/>
    </border>
    <border>
      <left/>
      <right style="dashed">
        <color indexed="64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23"/>
      </bottom>
      <diagonal/>
    </border>
    <border>
      <left/>
      <right style="hair">
        <color indexed="56"/>
      </right>
      <top/>
      <bottom style="thin">
        <color indexed="9"/>
      </bottom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dashed">
        <color indexed="23"/>
      </left>
      <right/>
      <top/>
      <bottom/>
      <diagonal/>
    </border>
    <border>
      <left/>
      <right style="dashed">
        <color indexed="23"/>
      </right>
      <top/>
      <bottom/>
      <diagonal/>
    </border>
    <border>
      <left/>
      <right/>
      <top style="medium">
        <color indexed="4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2"/>
      </bottom>
      <diagonal/>
    </border>
    <border>
      <left style="thin">
        <color indexed="64"/>
      </left>
      <right/>
      <top style="thin">
        <color indexed="5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56"/>
      </bottom>
      <diagonal/>
    </border>
    <border>
      <left style="hair">
        <color indexed="23"/>
      </left>
      <right style="dashed">
        <color indexed="9"/>
      </right>
      <top/>
      <bottom style="thin">
        <color indexed="9"/>
      </bottom>
      <diagonal/>
    </border>
    <border>
      <left style="dashed">
        <color indexed="9"/>
      </left>
      <right/>
      <top/>
      <bottom style="thin">
        <color indexed="9"/>
      </bottom>
      <diagonal/>
    </border>
    <border>
      <left style="hair">
        <color indexed="23"/>
      </left>
      <right/>
      <top/>
      <bottom style="thin">
        <color indexed="9"/>
      </bottom>
      <diagonal/>
    </border>
    <border>
      <left/>
      <right style="hair">
        <color indexed="23"/>
      </right>
      <top/>
      <bottom style="thin">
        <color indexed="9"/>
      </bottom>
      <diagonal/>
    </border>
    <border>
      <left style="hair">
        <color indexed="23"/>
      </left>
      <right/>
      <top/>
      <bottom/>
      <diagonal/>
    </border>
    <border>
      <left/>
      <right style="hair">
        <color indexed="23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23"/>
      </top>
      <bottom style="medium">
        <color rgb="FF002060"/>
      </bottom>
      <diagonal/>
    </border>
    <border>
      <left style="hair">
        <color theme="1"/>
      </left>
      <right/>
      <top/>
      <bottom style="thin">
        <color indexed="23"/>
      </bottom>
      <diagonal/>
    </border>
    <border>
      <left/>
      <right style="hair">
        <color theme="1"/>
      </right>
      <top/>
      <bottom style="thin">
        <color indexed="23"/>
      </bottom>
      <diagonal/>
    </border>
    <border>
      <left style="hair">
        <color theme="1"/>
      </left>
      <right/>
      <top style="thin">
        <color indexed="23"/>
      </top>
      <bottom style="thin">
        <color indexed="23"/>
      </bottom>
      <diagonal/>
    </border>
    <border>
      <left/>
      <right style="hair">
        <color theme="1"/>
      </right>
      <top style="thin">
        <color indexed="23"/>
      </top>
      <bottom style="thin">
        <color indexed="23"/>
      </bottom>
      <diagonal/>
    </border>
    <border>
      <left style="dashed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/>
      <right style="medium">
        <color indexed="23"/>
      </right>
      <top/>
      <bottom style="medium">
        <color rgb="FF00206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 style="dashed">
        <color indexed="23"/>
      </left>
      <right/>
      <top style="medium">
        <color indexed="18"/>
      </top>
      <bottom style="thin">
        <color indexed="23"/>
      </bottom>
      <diagonal/>
    </border>
    <border>
      <left/>
      <right/>
      <top style="medium">
        <color indexed="18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theme="3" tint="-0.24994659260841701"/>
      </bottom>
      <diagonal/>
    </border>
    <border>
      <left/>
      <right/>
      <top style="thin">
        <color indexed="23"/>
      </top>
      <bottom style="medium">
        <color theme="3" tint="-0.24994659260841701"/>
      </bottom>
      <diagonal/>
    </border>
    <border>
      <left style="dashed">
        <color indexed="23"/>
      </left>
      <right/>
      <top style="thin">
        <color indexed="23"/>
      </top>
      <bottom style="medium">
        <color rgb="FF002060"/>
      </bottom>
      <diagonal/>
    </border>
    <border>
      <left/>
      <right style="dashed">
        <color indexed="23"/>
      </right>
      <top/>
      <bottom style="medium">
        <color rgb="FF002060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medium">
        <color indexed="62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62"/>
      </bottom>
      <diagonal/>
    </border>
    <border>
      <left style="dotted">
        <color indexed="23"/>
      </left>
      <right/>
      <top style="thin">
        <color indexed="23"/>
      </top>
      <bottom style="medium">
        <color indexed="62"/>
      </bottom>
      <diagonal/>
    </border>
  </borders>
  <cellStyleXfs count="2134">
    <xf numFmtId="0" fontId="0" fillId="0" borderId="0">
      <alignment vertical="center"/>
    </xf>
    <xf numFmtId="0" fontId="96" fillId="0" borderId="0" applyNumberFormat="0" applyFill="0" applyBorder="0" applyAlignment="0" applyProtection="0"/>
    <xf numFmtId="24" fontId="97" fillId="0" borderId="0" applyFont="0" applyFill="0" applyBorder="0" applyAlignment="0" applyProtection="0"/>
    <xf numFmtId="210" fontId="3" fillId="0" borderId="0" applyNumberFormat="0" applyFont="0" applyFill="0" applyBorder="0" applyAlignment="0" applyProtection="0"/>
    <xf numFmtId="21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211" fontId="98" fillId="0" borderId="0">
      <protection locked="0"/>
    </xf>
    <xf numFmtId="0" fontId="42" fillId="0" borderId="0"/>
    <xf numFmtId="0" fontId="42" fillId="0" borderId="0"/>
    <xf numFmtId="211" fontId="98" fillId="0" borderId="0">
      <protection locked="0"/>
    </xf>
    <xf numFmtId="211" fontId="98" fillId="0" borderId="0">
      <protection locked="0"/>
    </xf>
    <xf numFmtId="0" fontId="99" fillId="0" borderId="0"/>
    <xf numFmtId="211" fontId="98" fillId="0" borderId="0">
      <protection locked="0"/>
    </xf>
    <xf numFmtId="211" fontId="98" fillId="0" borderId="0">
      <protection locked="0"/>
    </xf>
    <xf numFmtId="211" fontId="98" fillId="0" borderId="0">
      <protection locked="0"/>
    </xf>
    <xf numFmtId="211" fontId="98" fillId="0" borderId="0">
      <protection locked="0"/>
    </xf>
    <xf numFmtId="211" fontId="98" fillId="0" borderId="0">
      <protection locked="0"/>
    </xf>
    <xf numFmtId="211" fontId="98" fillId="0" borderId="0">
      <protection locked="0"/>
    </xf>
    <xf numFmtId="0" fontId="100" fillId="0" borderId="0"/>
    <xf numFmtId="0" fontId="101" fillId="0" borderId="0"/>
    <xf numFmtId="0" fontId="4" fillId="0" borderId="0"/>
    <xf numFmtId="0" fontId="4" fillId="0" borderId="0"/>
    <xf numFmtId="0" fontId="102" fillId="0" borderId="0" applyFont="0" applyFill="0" applyBorder="0" applyAlignment="0" applyProtection="0"/>
    <xf numFmtId="0" fontId="103" fillId="0" borderId="0"/>
    <xf numFmtId="0" fontId="102" fillId="0" borderId="0"/>
    <xf numFmtId="43" fontId="102" fillId="0" borderId="0" applyFont="0" applyFill="0" applyBorder="0" applyAlignment="0" applyProtection="0"/>
    <xf numFmtId="9" fontId="10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4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105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5" fillId="0" borderId="0"/>
    <xf numFmtId="0" fontId="105" fillId="0" borderId="0"/>
    <xf numFmtId="211" fontId="98" fillId="0" borderId="0">
      <protection locked="0"/>
    </xf>
    <xf numFmtId="211" fontId="98" fillId="0" borderId="0">
      <protection locked="0"/>
    </xf>
    <xf numFmtId="211" fontId="98" fillId="0" borderId="0">
      <protection locked="0"/>
    </xf>
    <xf numFmtId="211" fontId="98" fillId="0" borderId="0">
      <protection locked="0"/>
    </xf>
    <xf numFmtId="211" fontId="98" fillId="0" borderId="0">
      <protection locked="0"/>
    </xf>
    <xf numFmtId="1" fontId="106" fillId="0" borderId="1">
      <alignment horizontal="center" vertical="center"/>
    </xf>
    <xf numFmtId="211" fontId="98" fillId="0" borderId="0">
      <protection locked="0"/>
    </xf>
    <xf numFmtId="211" fontId="98" fillId="0" borderId="0">
      <protection locked="0"/>
    </xf>
    <xf numFmtId="10" fontId="88" fillId="0" borderId="0" applyFont="0" applyFill="0" applyBorder="0" applyAlignment="0" applyProtection="0"/>
    <xf numFmtId="211" fontId="98" fillId="0" borderId="0">
      <protection locked="0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107" fillId="0" borderId="2">
      <alignment vertical="center"/>
    </xf>
    <xf numFmtId="0" fontId="104" fillId="0" borderId="0" applyFont="0" applyFill="0" applyBorder="0" applyAlignment="0" applyProtection="0"/>
    <xf numFmtId="0" fontId="102" fillId="0" borderId="0" applyFont="0" applyFill="0" applyBorder="0" applyAlignment="0" applyProtection="0"/>
    <xf numFmtId="211" fontId="98" fillId="0" borderId="0">
      <protection locked="0"/>
    </xf>
    <xf numFmtId="211" fontId="98" fillId="0" borderId="0">
      <protection locked="0"/>
    </xf>
    <xf numFmtId="42" fontId="123" fillId="0" borderId="0" applyFont="0" applyFill="0" applyBorder="0" applyAlignment="0" applyProtection="0"/>
    <xf numFmtId="211" fontId="98" fillId="0" borderId="0">
      <protection locked="0"/>
    </xf>
    <xf numFmtId="202" fontId="88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8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8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8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8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8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88" fillId="0" borderId="0" applyFont="0" applyFill="0" applyBorder="0" applyAlignment="0" applyProtection="0"/>
    <xf numFmtId="228" fontId="97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124" fillId="0" borderId="0" applyFont="0" applyFill="0" applyBorder="0" applyAlignment="0" applyProtection="0"/>
    <xf numFmtId="229" fontId="88" fillId="0" borderId="0" applyFont="0" applyFill="0" applyBorder="0" applyAlignment="0" applyProtection="0"/>
    <xf numFmtId="230" fontId="125" fillId="0" borderId="0" applyFont="0" applyFill="0" applyBorder="0" applyAlignment="0" applyProtection="0"/>
    <xf numFmtId="231" fontId="125" fillId="0" borderId="0" applyFont="0" applyFill="0" applyBorder="0" applyAlignment="0" applyProtection="0"/>
    <xf numFmtId="231" fontId="125" fillId="0" borderId="0" applyFont="0" applyFill="0" applyBorder="0" applyAlignment="0" applyProtection="0"/>
    <xf numFmtId="202" fontId="88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8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8" fillId="0" borderId="0" applyFont="0" applyFill="0" applyBorder="0" applyAlignment="0" applyProtection="0"/>
    <xf numFmtId="44" fontId="123" fillId="0" borderId="0" applyFont="0" applyFill="0" applyBorder="0" applyAlignment="0" applyProtection="0"/>
    <xf numFmtId="211" fontId="98" fillId="0" borderId="0">
      <protection locked="0"/>
    </xf>
    <xf numFmtId="205" fontId="88" fillId="0" borderId="0" applyFont="0" applyFill="0" applyBorder="0" applyAlignment="0" applyProtection="0"/>
    <xf numFmtId="211" fontId="98" fillId="0" borderId="0">
      <protection locked="0"/>
    </xf>
    <xf numFmtId="205" fontId="88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8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8" fillId="0" borderId="0" applyFont="0" applyFill="0" applyBorder="0" applyAlignment="0" applyProtection="0"/>
    <xf numFmtId="228" fontId="97" fillId="0" borderId="0" applyFont="0" applyFill="0" applyBorder="0" applyAlignment="0" applyProtection="0"/>
    <xf numFmtId="205" fontId="88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8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8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8" fillId="0" borderId="0" applyFont="0" applyFill="0" applyBorder="0" applyAlignment="0" applyProtection="0"/>
    <xf numFmtId="232" fontId="124" fillId="0" borderId="0" applyFont="0" applyFill="0" applyBorder="0" applyAlignment="0" applyProtection="0"/>
    <xf numFmtId="232" fontId="88" fillId="0" borderId="0" applyFont="0" applyFill="0" applyBorder="0" applyAlignment="0" applyProtection="0"/>
    <xf numFmtId="229" fontId="97" fillId="0" borderId="0" applyFont="0" applyFill="0" applyBorder="0" applyAlignment="0" applyProtection="0"/>
    <xf numFmtId="233" fontId="88" fillId="0" borderId="0" applyFont="0" applyFill="0" applyBorder="0" applyAlignment="0" applyProtection="0"/>
    <xf numFmtId="233" fontId="124" fillId="0" borderId="0" applyFont="0" applyFill="0" applyBorder="0" applyAlignment="0" applyProtection="0"/>
    <xf numFmtId="233" fontId="88" fillId="0" borderId="0" applyFont="0" applyFill="0" applyBorder="0" applyAlignment="0" applyProtection="0"/>
    <xf numFmtId="234" fontId="125" fillId="0" borderId="0" applyFont="0" applyFill="0" applyBorder="0" applyAlignment="0" applyProtection="0"/>
    <xf numFmtId="235" fontId="125" fillId="0" borderId="0" applyFont="0" applyFill="0" applyBorder="0" applyAlignment="0" applyProtection="0"/>
    <xf numFmtId="235" fontId="125" fillId="0" borderId="0" applyFont="0" applyFill="0" applyBorder="0" applyAlignment="0" applyProtection="0"/>
    <xf numFmtId="205" fontId="88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8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8" fillId="0" borderId="0" applyFont="0" applyFill="0" applyBorder="0" applyAlignment="0" applyProtection="0"/>
    <xf numFmtId="0" fontId="97" fillId="0" borderId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211" fontId="98" fillId="0" borderId="0">
      <protection locked="0"/>
    </xf>
    <xf numFmtId="211" fontId="98" fillId="0" borderId="0">
      <protection locked="0"/>
    </xf>
    <xf numFmtId="203" fontId="88" fillId="0" borderId="0" applyFont="0" applyFill="0" applyBorder="0" applyAlignment="0" applyProtection="0"/>
    <xf numFmtId="211" fontId="98" fillId="0" borderId="0">
      <protection locked="0"/>
    </xf>
    <xf numFmtId="203" fontId="88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8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8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8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8" fillId="0" borderId="0" applyFont="0" applyFill="0" applyBorder="0" applyAlignment="0" applyProtection="0"/>
    <xf numFmtId="38" fontId="97" fillId="0" borderId="0" applyFont="0" applyFill="0" applyBorder="0" applyAlignment="0" applyProtection="0"/>
    <xf numFmtId="236" fontId="88" fillId="0" borderId="0" applyFont="0" applyFill="0" applyBorder="0" applyAlignment="0" applyProtection="0"/>
    <xf numFmtId="236" fontId="124" fillId="0" borderId="0" applyFont="0" applyFill="0" applyBorder="0" applyAlignment="0" applyProtection="0"/>
    <xf numFmtId="236" fontId="88" fillId="0" borderId="0" applyFont="0" applyFill="0" applyBorder="0" applyAlignment="0" applyProtection="0"/>
    <xf numFmtId="41" fontId="125" fillId="0" borderId="0" applyFont="0" applyFill="0" applyBorder="0" applyAlignment="0" applyProtection="0"/>
    <xf numFmtId="203" fontId="88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8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8" fillId="0" borderId="0" applyFont="0" applyFill="0" applyBorder="0" applyAlignment="0" applyProtection="0"/>
    <xf numFmtId="211" fontId="98" fillId="0" borderId="0">
      <protection locked="0"/>
    </xf>
    <xf numFmtId="204" fontId="88" fillId="0" borderId="0" applyFont="0" applyFill="0" applyBorder="0" applyAlignment="0" applyProtection="0"/>
    <xf numFmtId="211" fontId="98" fillId="0" borderId="0">
      <protection locked="0"/>
    </xf>
    <xf numFmtId="237" fontId="88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8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8" fillId="0" borderId="0" applyFont="0" applyFill="0" applyBorder="0" applyAlignment="0" applyProtection="0"/>
    <xf numFmtId="40" fontId="97" fillId="0" borderId="0" applyFont="0" applyFill="0" applyBorder="0" applyAlignment="0" applyProtection="0"/>
    <xf numFmtId="204" fontId="88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8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8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8" fillId="0" borderId="0" applyFont="0" applyFill="0" applyBorder="0" applyAlignment="0" applyProtection="0"/>
    <xf numFmtId="3" fontId="97" fillId="0" borderId="0" applyFont="0" applyFill="0" applyBorder="0" applyAlignment="0" applyProtection="0"/>
    <xf numFmtId="237" fontId="88" fillId="0" borderId="0" applyFont="0" applyFill="0" applyBorder="0" applyAlignment="0" applyProtection="0"/>
    <xf numFmtId="237" fontId="124" fillId="0" borderId="0" applyFont="0" applyFill="0" applyBorder="0" applyAlignment="0" applyProtection="0"/>
    <xf numFmtId="237" fontId="88" fillId="0" borderId="0" applyFont="0" applyFill="0" applyBorder="0" applyAlignment="0" applyProtection="0"/>
    <xf numFmtId="43" fontId="125" fillId="0" borderId="0" applyFont="0" applyFill="0" applyBorder="0" applyAlignment="0" applyProtection="0"/>
    <xf numFmtId="40" fontId="125" fillId="0" borderId="0" applyFont="0" applyFill="0" applyBorder="0" applyAlignment="0" applyProtection="0"/>
    <xf numFmtId="40" fontId="125" fillId="0" borderId="0" applyFont="0" applyFill="0" applyBorder="0" applyAlignment="0" applyProtection="0"/>
    <xf numFmtId="204" fontId="88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8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8" fillId="0" borderId="0" applyFont="0" applyFill="0" applyBorder="0" applyAlignment="0" applyProtection="0"/>
    <xf numFmtId="238" fontId="107" fillId="0" borderId="0">
      <alignment horizontal="right"/>
      <protection locked="0"/>
    </xf>
    <xf numFmtId="198" fontId="3" fillId="0" borderId="0" applyFont="0" applyFill="0" applyBorder="0" applyAlignment="0" applyProtection="0"/>
    <xf numFmtId="0" fontId="126" fillId="0" borderId="0"/>
    <xf numFmtId="0" fontId="127" fillId="0" borderId="0"/>
    <xf numFmtId="211" fontId="98" fillId="0" borderId="0">
      <protection locked="0"/>
    </xf>
    <xf numFmtId="0" fontId="123" fillId="0" borderId="0"/>
    <xf numFmtId="0" fontId="128" fillId="0" borderId="0"/>
    <xf numFmtId="0" fontId="92" fillId="0" borderId="0"/>
    <xf numFmtId="0" fontId="128" fillId="0" borderId="0"/>
    <xf numFmtId="0" fontId="88" fillId="0" borderId="0"/>
    <xf numFmtId="0" fontId="129" fillId="0" borderId="0"/>
    <xf numFmtId="0" fontId="97" fillId="0" borderId="0"/>
    <xf numFmtId="0" fontId="97" fillId="0" borderId="0"/>
    <xf numFmtId="0" fontId="88" fillId="0" borderId="0"/>
    <xf numFmtId="0" fontId="124" fillId="0" borderId="0"/>
    <xf numFmtId="0" fontId="88" fillId="0" borderId="0"/>
    <xf numFmtId="0" fontId="130" fillId="0" borderId="0"/>
    <xf numFmtId="239" fontId="105" fillId="0" borderId="0"/>
    <xf numFmtId="239" fontId="105" fillId="0" borderId="0"/>
    <xf numFmtId="0" fontId="92" fillId="0" borderId="0"/>
    <xf numFmtId="0" fontId="12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31" fillId="0" borderId="0"/>
    <xf numFmtId="0" fontId="129" fillId="0" borderId="0"/>
    <xf numFmtId="0" fontId="3" fillId="0" borderId="0" applyFill="0" applyBorder="0" applyAlignment="0"/>
    <xf numFmtId="240" fontId="3" fillId="3" borderId="0" applyNumberFormat="0" applyFont="0" applyBorder="0" applyAlignment="0">
      <protection locked="0"/>
    </xf>
    <xf numFmtId="0" fontId="93" fillId="0" borderId="0"/>
    <xf numFmtId="4" fontId="111" fillId="0" borderId="0">
      <protection locked="0"/>
    </xf>
    <xf numFmtId="241" fontId="42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2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2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2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2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2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2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2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" fontId="97" fillId="0" borderId="0" applyFont="0" applyFill="0" applyBorder="0" applyAlignment="0" applyProtection="0"/>
    <xf numFmtId="206" fontId="3" fillId="0" borderId="0"/>
    <xf numFmtId="211" fontId="98" fillId="0" borderId="0">
      <protection locked="0"/>
    </xf>
    <xf numFmtId="189" fontId="3" fillId="0" borderId="0" applyFont="0" applyFill="0" applyBorder="0" applyAlignment="0" applyProtection="0"/>
    <xf numFmtId="0" fontId="132" fillId="0" borderId="0" applyNumberFormat="0" applyAlignment="0">
      <alignment horizontal="left"/>
    </xf>
    <xf numFmtId="242" fontId="115" fillId="0" borderId="0">
      <protection locked="0"/>
    </xf>
    <xf numFmtId="233" fontId="97" fillId="0" borderId="0" applyFont="0" applyFill="0" applyBorder="0" applyAlignment="0" applyProtection="0"/>
    <xf numFmtId="197" fontId="42" fillId="0" borderId="3" applyFill="0" applyBorder="0" applyAlignment="0"/>
    <xf numFmtId="197" fontId="42" fillId="0" borderId="3" applyFill="0" applyBorder="0" applyAlignment="0"/>
    <xf numFmtId="197" fontId="42" fillId="0" borderId="3" applyFill="0" applyBorder="0" applyAlignment="0"/>
    <xf numFmtId="197" fontId="42" fillId="0" borderId="3" applyFill="0" applyBorder="0" applyAlignment="0"/>
    <xf numFmtId="197" fontId="42" fillId="0" borderId="3" applyFill="0" applyBorder="0" applyAlignment="0"/>
    <xf numFmtId="197" fontId="42" fillId="0" borderId="3" applyFill="0" applyBorder="0" applyAlignment="0"/>
    <xf numFmtId="197" fontId="42" fillId="0" borderId="3" applyFill="0" applyBorder="0" applyAlignment="0"/>
    <xf numFmtId="211" fontId="98" fillId="0" borderId="0">
      <protection locked="0"/>
    </xf>
    <xf numFmtId="243" fontId="3" fillId="0" borderId="0" applyFont="0" applyFill="0" applyBorder="0" applyAlignment="0" applyProtection="0"/>
    <xf numFmtId="20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4" fontId="115" fillId="0" borderId="0">
      <protection locked="0"/>
    </xf>
    <xf numFmtId="209" fontId="3" fillId="0" borderId="0"/>
    <xf numFmtId="230" fontId="133" fillId="0" borderId="0" applyFill="0" applyBorder="0" applyAlignment="0" applyProtection="0"/>
    <xf numFmtId="0" fontId="134" fillId="0" borderId="0" applyNumberFormat="0" applyAlignment="0">
      <alignment horizontal="left"/>
    </xf>
    <xf numFmtId="245" fontId="3" fillId="0" borderId="0" applyFont="0" applyFill="0" applyBorder="0" applyAlignment="0" applyProtection="0"/>
    <xf numFmtId="246" fontId="115" fillId="0" borderId="0">
      <protection locked="0"/>
    </xf>
    <xf numFmtId="0" fontId="135" fillId="0" borderId="0" applyNumberFormat="0" applyFill="0" applyBorder="0" applyAlignment="0" applyProtection="0"/>
    <xf numFmtId="38" fontId="30" fillId="2" borderId="0" applyNumberFormat="0" applyBorder="0" applyAlignment="0" applyProtection="0"/>
    <xf numFmtId="38" fontId="30" fillId="4" borderId="0" applyNumberFormat="0" applyBorder="0" applyAlignment="0" applyProtection="0"/>
    <xf numFmtId="0" fontId="94" fillId="0" borderId="0">
      <alignment horizontal="left"/>
    </xf>
    <xf numFmtId="0" fontId="15" fillId="0" borderId="4" applyNumberFormat="0" applyAlignment="0" applyProtection="0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14" fontId="72" fillId="5" borderId="2">
      <alignment horizontal="center" vertical="center" wrapText="1"/>
    </xf>
    <xf numFmtId="0" fontId="1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08" fontId="115" fillId="0" borderId="0">
      <protection locked="0"/>
    </xf>
    <xf numFmtId="208" fontId="115" fillId="0" borderId="0">
      <protection locked="0"/>
    </xf>
    <xf numFmtId="0" fontId="137" fillId="0" borderId="6" applyNumberFormat="0" applyFill="0" applyBorder="0" applyAlignment="0" applyProtection="0">
      <alignment horizontal="left"/>
    </xf>
    <xf numFmtId="0" fontId="138" fillId="0" borderId="0" applyNumberFormat="0" applyFill="0" applyBorder="0" applyAlignment="0" applyProtection="0">
      <alignment vertical="top"/>
      <protection locked="0"/>
    </xf>
    <xf numFmtId="0" fontId="139" fillId="6" borderId="7" applyNumberFormat="0" applyFont="0" applyBorder="0" applyAlignment="0">
      <alignment horizontal="center"/>
      <protection locked="0"/>
    </xf>
    <xf numFmtId="10" fontId="30" fillId="7" borderId="3" applyNumberFormat="0" applyBorder="0" applyAlignment="0" applyProtection="0"/>
    <xf numFmtId="10" fontId="30" fillId="4" borderId="3" applyNumberFormat="0" applyBorder="0" applyAlignment="0" applyProtection="0"/>
    <xf numFmtId="10" fontId="30" fillId="7" borderId="3" applyNumberFormat="0" applyBorder="0" applyAlignment="0" applyProtection="0"/>
    <xf numFmtId="10" fontId="30" fillId="7" borderId="3" applyNumberFormat="0" applyBorder="0" applyAlignment="0" applyProtection="0"/>
    <xf numFmtId="10" fontId="30" fillId="7" borderId="3" applyNumberFormat="0" applyBorder="0" applyAlignment="0" applyProtection="0"/>
    <xf numFmtId="10" fontId="30" fillId="7" borderId="3" applyNumberFormat="0" applyBorder="0" applyAlignment="0" applyProtection="0"/>
    <xf numFmtId="10" fontId="30" fillId="7" borderId="3" applyNumberFormat="0" applyBorder="0" applyAlignment="0" applyProtection="0"/>
    <xf numFmtId="10" fontId="30" fillId="7" borderId="3" applyNumberFormat="0" applyBorder="0" applyAlignment="0" applyProtection="0"/>
    <xf numFmtId="10" fontId="30" fillId="7" borderId="3" applyNumberFormat="0" applyBorder="0" applyAlignment="0" applyProtection="0"/>
    <xf numFmtId="0" fontId="140" fillId="0" borderId="0" applyNumberFormat="0" applyFill="0" applyBorder="0" applyAlignment="0">
      <protection locked="0"/>
    </xf>
    <xf numFmtId="0" fontId="141" fillId="0" borderId="0" applyNumberFormat="0" applyFont="0" applyFill="0" applyBorder="0" applyProtection="0">
      <alignment horizontal="left" vertical="center"/>
    </xf>
    <xf numFmtId="38" fontId="142" fillId="8" borderId="0">
      <alignment horizontal="left" indent="1"/>
    </xf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4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43" fillId="4" borderId="8">
      <alignment horizontal="left" vertical="top" indent="2"/>
    </xf>
    <xf numFmtId="0" fontId="95" fillId="0" borderId="2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48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37" fontId="144" fillId="0" borderId="0"/>
    <xf numFmtId="0" fontId="42" fillId="0" borderId="0"/>
    <xf numFmtId="207" fontId="42" fillId="0" borderId="0"/>
    <xf numFmtId="179" fontId="42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211" fontId="98" fillId="0" borderId="0">
      <protection locked="0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0" fontId="146" fillId="4" borderId="0">
      <alignment horizontal="right"/>
    </xf>
    <xf numFmtId="0" fontId="147" fillId="4" borderId="0">
      <alignment horizontal="right"/>
    </xf>
    <xf numFmtId="0" fontId="148" fillId="4" borderId="9"/>
    <xf numFmtId="0" fontId="148" fillId="0" borderId="0" applyBorder="0">
      <alignment horizontal="centerContinuous"/>
    </xf>
    <xf numFmtId="0" fontId="149" fillId="0" borderId="0" applyBorder="0">
      <alignment horizontal="centerContinuous"/>
    </xf>
    <xf numFmtId="0" fontId="150" fillId="4" borderId="0"/>
    <xf numFmtId="0" fontId="151" fillId="4" borderId="2"/>
    <xf numFmtId="236" fontId="106" fillId="0" borderId="0"/>
    <xf numFmtId="250" fontId="115" fillId="0" borderId="0">
      <protection locked="0"/>
    </xf>
    <xf numFmtId="251" fontId="115" fillId="0" borderId="0" applyFont="0" applyFill="0" applyBorder="0" applyAlignment="0" applyProtection="0"/>
    <xf numFmtId="10" fontId="4" fillId="0" borderId="0" applyFont="0" applyFill="0" applyBorder="0" applyAlignment="0" applyProtection="0"/>
    <xf numFmtId="250" fontId="115" fillId="0" borderId="0">
      <protection locked="0"/>
    </xf>
    <xf numFmtId="252" fontId="3" fillId="0" borderId="0" applyFont="0" applyFill="0" applyBorder="0" applyAlignment="0" applyProtection="0"/>
    <xf numFmtId="253" fontId="4" fillId="0" borderId="0" applyNumberFormat="0" applyFill="0" applyBorder="0" applyAlignment="0" applyProtection="0">
      <alignment horizontal="left"/>
    </xf>
    <xf numFmtId="0" fontId="42" fillId="0" borderId="0"/>
    <xf numFmtId="0" fontId="4" fillId="0" borderId="0"/>
    <xf numFmtId="230" fontId="152" fillId="0" borderId="0" applyFill="0" applyBorder="0" applyAlignment="0" applyProtection="0"/>
    <xf numFmtId="0" fontId="95" fillId="0" borderId="0"/>
    <xf numFmtId="40" fontId="153" fillId="0" borderId="0" applyBorder="0">
      <alignment horizontal="right"/>
    </xf>
    <xf numFmtId="0" fontId="69" fillId="0" borderId="0" applyFill="0" applyBorder="0" applyProtection="0">
      <alignment horizontal="left" vertical="top"/>
    </xf>
    <xf numFmtId="0" fontId="141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40" fontId="154" fillId="0" borderId="0"/>
    <xf numFmtId="208" fontId="115" fillId="0" borderId="10">
      <protection locked="0"/>
    </xf>
    <xf numFmtId="0" fontId="125" fillId="0" borderId="0" applyNumberFormat="0" applyFont="0" applyFill="0" applyBorder="0" applyProtection="0">
      <alignment horizontal="center" vertical="center" wrapText="1"/>
    </xf>
    <xf numFmtId="254" fontId="3" fillId="0" borderId="0" applyFont="0" applyFill="0" applyBorder="0" applyAlignment="0" applyProtection="0"/>
    <xf numFmtId="0" fontId="155" fillId="0" borderId="0"/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197" fontId="108" fillId="4" borderId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5" fillId="37" borderId="127" applyNumberFormat="0" applyAlignment="0" applyProtection="0">
      <alignment vertical="center"/>
    </xf>
    <xf numFmtId="0" fontId="225" fillId="37" borderId="127" applyNumberFormat="0" applyAlignment="0" applyProtection="0">
      <alignment vertical="center"/>
    </xf>
    <xf numFmtId="0" fontId="225" fillId="37" borderId="127" applyNumberFormat="0" applyAlignment="0" applyProtection="0">
      <alignment vertical="center"/>
    </xf>
    <xf numFmtId="0" fontId="225" fillId="37" borderId="127" applyNumberFormat="0" applyAlignment="0" applyProtection="0">
      <alignment vertical="center"/>
    </xf>
    <xf numFmtId="0" fontId="225" fillId="37" borderId="127" applyNumberFormat="0" applyAlignment="0" applyProtection="0">
      <alignment vertical="center"/>
    </xf>
    <xf numFmtId="0" fontId="225" fillId="37" borderId="127" applyNumberFormat="0" applyAlignment="0" applyProtection="0">
      <alignment vertical="center"/>
    </xf>
    <xf numFmtId="0" fontId="225" fillId="37" borderId="127" applyNumberFormat="0" applyAlignment="0" applyProtection="0">
      <alignment vertical="center"/>
    </xf>
    <xf numFmtId="0" fontId="225" fillId="37" borderId="127" applyNumberFormat="0" applyAlignment="0" applyProtection="0">
      <alignment vertical="center"/>
    </xf>
    <xf numFmtId="0" fontId="225" fillId="37" borderId="127" applyNumberFormat="0" applyAlignment="0" applyProtection="0">
      <alignment vertical="center"/>
    </xf>
    <xf numFmtId="0" fontId="225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5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0" fontId="224" fillId="37" borderId="127" applyNumberFormat="0" applyAlignment="0" applyProtection="0">
      <alignment vertical="center"/>
    </xf>
    <xf numFmtId="213" fontId="56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0" fontId="110" fillId="0" borderId="0"/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111" fillId="0" borderId="0">
      <protection locked="0"/>
    </xf>
    <xf numFmtId="1" fontId="112" fillId="0" borderId="3" applyFill="0" applyBorder="0">
      <alignment horizontal="center"/>
    </xf>
    <xf numFmtId="1" fontId="112" fillId="0" borderId="3" applyFill="0" applyBorder="0">
      <alignment horizontal="center"/>
    </xf>
    <xf numFmtId="1" fontId="112" fillId="0" borderId="3" applyFill="0" applyBorder="0">
      <alignment horizontal="center"/>
    </xf>
    <xf numFmtId="1" fontId="112" fillId="0" borderId="3" applyFill="0" applyBorder="0">
      <alignment horizontal="center"/>
    </xf>
    <xf numFmtId="1" fontId="112" fillId="0" borderId="3" applyFill="0" applyBorder="0">
      <alignment horizontal="center"/>
    </xf>
    <xf numFmtId="1" fontId="112" fillId="0" borderId="3" applyFill="0" applyBorder="0">
      <alignment horizontal="center"/>
    </xf>
    <xf numFmtId="1" fontId="112" fillId="0" borderId="3" applyFill="0" applyBorder="0">
      <alignment horizontal="center"/>
    </xf>
    <xf numFmtId="0" fontId="111" fillId="0" borderId="0"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211" fontId="98" fillId="0" borderId="0">
      <protection locked="0"/>
    </xf>
    <xf numFmtId="211" fontId="98" fillId="0" borderId="0">
      <protection locked="0"/>
    </xf>
    <xf numFmtId="40" fontId="114" fillId="0" borderId="0" applyFont="0" applyFill="0" applyBorder="0" applyAlignment="0" applyProtection="0"/>
    <xf numFmtId="38" fontId="114" fillId="0" borderId="0" applyFont="0" applyFill="0" applyBorder="0" applyAlignment="0" applyProtection="0"/>
    <xf numFmtId="0" fontId="1" fillId="39" borderId="128" applyNumberFormat="0" applyFont="0" applyAlignment="0" applyProtection="0">
      <alignment vertical="center"/>
    </xf>
    <xf numFmtId="0" fontId="1" fillId="39" borderId="128" applyNumberFormat="0" applyFont="0" applyAlignment="0" applyProtection="0">
      <alignment vertical="center"/>
    </xf>
    <xf numFmtId="0" fontId="1" fillId="39" borderId="128" applyNumberFormat="0" applyFont="0" applyAlignment="0" applyProtection="0">
      <alignment vertical="center"/>
    </xf>
    <xf numFmtId="0" fontId="1" fillId="39" borderId="128" applyNumberFormat="0" applyFont="0" applyAlignment="0" applyProtection="0">
      <alignment vertical="center"/>
    </xf>
    <xf numFmtId="0" fontId="1" fillId="39" borderId="128" applyNumberFormat="0" applyFont="0" applyAlignment="0" applyProtection="0">
      <alignment vertical="center"/>
    </xf>
    <xf numFmtId="0" fontId="1" fillId="39" borderId="128" applyNumberFormat="0" applyFont="0" applyAlignment="0" applyProtection="0">
      <alignment vertical="center"/>
    </xf>
    <xf numFmtId="0" fontId="1" fillId="39" borderId="128" applyNumberFormat="0" applyFont="0" applyAlignment="0" applyProtection="0">
      <alignment vertical="center"/>
    </xf>
    <xf numFmtId="0" fontId="1" fillId="39" borderId="128" applyNumberFormat="0" applyFont="0" applyAlignment="0" applyProtection="0">
      <alignment vertical="center"/>
    </xf>
    <xf numFmtId="0" fontId="1" fillId="39" borderId="128" applyNumberFormat="0" applyFont="0" applyAlignment="0" applyProtection="0">
      <alignment vertical="center"/>
    </xf>
    <xf numFmtId="0" fontId="1" fillId="39" borderId="128" applyNumberFormat="0" applyFont="0" applyAlignment="0" applyProtection="0">
      <alignment vertical="center"/>
    </xf>
    <xf numFmtId="0" fontId="1" fillId="39" borderId="128" applyNumberFormat="0" applyFont="0" applyAlignment="0" applyProtection="0">
      <alignment vertical="center"/>
    </xf>
    <xf numFmtId="0" fontId="218" fillId="39" borderId="128" applyNumberFormat="0" applyFont="0" applyAlignment="0" applyProtection="0">
      <alignment vertical="center"/>
    </xf>
    <xf numFmtId="0" fontId="157" fillId="39" borderId="128" applyNumberFormat="0" applyFont="0" applyAlignment="0" applyProtection="0">
      <alignment vertical="center"/>
    </xf>
    <xf numFmtId="0" fontId="157" fillId="39" borderId="128" applyNumberFormat="0" applyFont="0" applyAlignment="0" applyProtection="0">
      <alignment vertical="center"/>
    </xf>
    <xf numFmtId="0" fontId="157" fillId="39" borderId="128" applyNumberFormat="0" applyFont="0" applyAlignment="0" applyProtection="0">
      <alignment vertical="center"/>
    </xf>
    <xf numFmtId="0" fontId="157" fillId="39" borderId="128" applyNumberFormat="0" applyFont="0" applyAlignment="0" applyProtection="0">
      <alignment vertical="center"/>
    </xf>
    <xf numFmtId="0" fontId="157" fillId="39" borderId="128" applyNumberFormat="0" applyFont="0" applyAlignment="0" applyProtection="0">
      <alignment vertical="center"/>
    </xf>
    <xf numFmtId="0" fontId="157" fillId="39" borderId="128" applyNumberFormat="0" applyFont="0" applyAlignment="0" applyProtection="0">
      <alignment vertical="center"/>
    </xf>
    <xf numFmtId="0" fontId="157" fillId="39" borderId="128" applyNumberFormat="0" applyFont="0" applyAlignment="0" applyProtection="0">
      <alignment vertical="center"/>
    </xf>
    <xf numFmtId="0" fontId="157" fillId="39" borderId="128" applyNumberFormat="0" applyFont="0" applyAlignment="0" applyProtection="0">
      <alignment vertical="center"/>
    </xf>
    <xf numFmtId="0" fontId="157" fillId="39" borderId="128" applyNumberFormat="0" applyFont="0" applyAlignment="0" applyProtection="0">
      <alignment vertical="center"/>
    </xf>
    <xf numFmtId="0" fontId="157" fillId="39" borderId="128" applyNumberFormat="0" applyFont="0" applyAlignment="0" applyProtection="0">
      <alignment vertical="center"/>
    </xf>
    <xf numFmtId="0" fontId="1" fillId="39" borderId="128" applyNumberFormat="0" applyFont="0" applyAlignment="0" applyProtection="0">
      <alignment vertical="center"/>
    </xf>
    <xf numFmtId="0" fontId="218" fillId="39" borderId="128" applyNumberFormat="0" applyFont="0" applyAlignment="0" applyProtection="0">
      <alignment vertical="center"/>
    </xf>
    <xf numFmtId="0" fontId="157" fillId="39" borderId="128" applyNumberFormat="0" applyFont="0" applyAlignment="0" applyProtection="0">
      <alignment vertical="center"/>
    </xf>
    <xf numFmtId="0" fontId="1" fillId="39" borderId="128" applyNumberFormat="0" applyFont="0" applyAlignment="0" applyProtection="0">
      <alignment vertical="center"/>
    </xf>
    <xf numFmtId="0" fontId="1" fillId="39" borderId="128" applyNumberFormat="0" applyFont="0" applyAlignment="0" applyProtection="0">
      <alignment vertical="center"/>
    </xf>
    <xf numFmtId="0" fontId="1" fillId="39" borderId="128" applyNumberFormat="0" applyFont="0" applyAlignment="0" applyProtection="0">
      <alignment vertical="center"/>
    </xf>
    <xf numFmtId="0" fontId="1" fillId="39" borderId="128" applyNumberFormat="0" applyFont="0" applyAlignment="0" applyProtection="0">
      <alignment vertical="center"/>
    </xf>
    <xf numFmtId="0" fontId="1" fillId="39" borderId="128" applyNumberFormat="0" applyFont="0" applyAlignment="0" applyProtection="0">
      <alignment vertical="center"/>
    </xf>
    <xf numFmtId="0" fontId="1" fillId="39" borderId="128" applyNumberFormat="0" applyFont="0" applyAlignment="0" applyProtection="0">
      <alignment vertical="center"/>
    </xf>
    <xf numFmtId="215" fontId="42" fillId="0" borderId="0">
      <alignment vertical="center"/>
    </xf>
    <xf numFmtId="0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9" fontId="8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06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219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91" fillId="0" borderId="0"/>
    <xf numFmtId="211" fontId="98" fillId="0" borderId="0">
      <protection locked="0"/>
    </xf>
    <xf numFmtId="0" fontId="42" fillId="0" borderId="0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3" fillId="41" borderId="129" applyNumberFormat="0" applyAlignment="0" applyProtection="0">
      <alignment vertical="center"/>
    </xf>
    <xf numFmtId="0" fontId="233" fillId="41" borderId="129" applyNumberFormat="0" applyAlignment="0" applyProtection="0">
      <alignment vertical="center"/>
    </xf>
    <xf numFmtId="0" fontId="233" fillId="41" borderId="129" applyNumberFormat="0" applyAlignment="0" applyProtection="0">
      <alignment vertical="center"/>
    </xf>
    <xf numFmtId="0" fontId="233" fillId="41" borderId="129" applyNumberFormat="0" applyAlignment="0" applyProtection="0">
      <alignment vertical="center"/>
    </xf>
    <xf numFmtId="0" fontId="233" fillId="41" borderId="129" applyNumberFormat="0" applyAlignment="0" applyProtection="0">
      <alignment vertical="center"/>
    </xf>
    <xf numFmtId="0" fontId="233" fillId="41" borderId="129" applyNumberFormat="0" applyAlignment="0" applyProtection="0">
      <alignment vertical="center"/>
    </xf>
    <xf numFmtId="0" fontId="233" fillId="41" borderId="129" applyNumberFormat="0" applyAlignment="0" applyProtection="0">
      <alignment vertical="center"/>
    </xf>
    <xf numFmtId="0" fontId="233" fillId="41" borderId="129" applyNumberFormat="0" applyAlignment="0" applyProtection="0">
      <alignment vertical="center"/>
    </xf>
    <xf numFmtId="0" fontId="233" fillId="41" borderId="129" applyNumberFormat="0" applyAlignment="0" applyProtection="0">
      <alignment vertical="center"/>
    </xf>
    <xf numFmtId="0" fontId="233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3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0" fontId="232" fillId="41" borderId="129" applyNumberFormat="0" applyAlignment="0" applyProtection="0">
      <alignment vertical="center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41" fontId="87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0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21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0" fontId="42" fillId="0" borderId="0" applyFont="0" applyFill="0" applyBorder="0" applyAlignment="0" applyProtection="0"/>
    <xf numFmtId="197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221" fontId="116" fillId="0" borderId="0" applyFont="0" applyFill="0" applyBorder="0" applyProtection="0">
      <alignment horizontal="right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4" fillId="0" borderId="0"/>
    <xf numFmtId="38" fontId="86" fillId="2" borderId="11">
      <alignment horizontal="center" vertical="center"/>
    </xf>
    <xf numFmtId="0" fontId="4" fillId="0" borderId="0"/>
    <xf numFmtId="212" fontId="4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4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4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42" fillId="0" borderId="0" applyFont="0" applyFill="0" applyBorder="0" applyAlignment="0" applyProtection="0"/>
    <xf numFmtId="0" fontId="4" fillId="0" borderId="0" applyFont="0" applyFill="0" applyBorder="0" applyAlignment="0" applyProtection="0"/>
    <xf numFmtId="212" fontId="42" fillId="0" borderId="0" applyFont="0" applyFill="0" applyBorder="0" applyAlignment="0" applyProtection="0"/>
    <xf numFmtId="0" fontId="4" fillId="0" borderId="0" applyFont="0" applyFill="0" applyBorder="0" applyAlignment="0" applyProtection="0"/>
    <xf numFmtId="212" fontId="42" fillId="0" borderId="0" applyFont="0" applyFill="0" applyBorder="0" applyAlignment="0" applyProtection="0"/>
    <xf numFmtId="0" fontId="4" fillId="0" borderId="0" applyFont="0" applyFill="0" applyBorder="0" applyAlignment="0" applyProtection="0"/>
    <xf numFmtId="212" fontId="42" fillId="0" borderId="0" applyFont="0" applyFill="0" applyBorder="0" applyAlignment="0" applyProtection="0"/>
    <xf numFmtId="0" fontId="4" fillId="0" borderId="0" applyFont="0" applyFill="0" applyBorder="0" applyAlignment="0" applyProtection="0"/>
    <xf numFmtId="212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0" fontId="4" fillId="0" borderId="0" applyFont="0" applyFill="0" applyBorder="0" applyAlignment="0" applyProtection="0"/>
    <xf numFmtId="217" fontId="42" fillId="0" borderId="9"/>
    <xf numFmtId="0" fontId="117" fillId="0" borderId="12"/>
    <xf numFmtId="0" fontId="234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5" fillId="0" borderId="130" applyNumberFormat="0" applyFill="0" applyAlignment="0" applyProtection="0">
      <alignment vertical="center"/>
    </xf>
    <xf numFmtId="0" fontId="235" fillId="0" borderId="130" applyNumberFormat="0" applyFill="0" applyAlignment="0" applyProtection="0">
      <alignment vertical="center"/>
    </xf>
    <xf numFmtId="0" fontId="235" fillId="0" borderId="130" applyNumberFormat="0" applyFill="0" applyAlignment="0" applyProtection="0">
      <alignment vertical="center"/>
    </xf>
    <xf numFmtId="0" fontId="235" fillId="0" borderId="130" applyNumberFormat="0" applyFill="0" applyAlignment="0" applyProtection="0">
      <alignment vertical="center"/>
    </xf>
    <xf numFmtId="0" fontId="235" fillId="0" borderId="130" applyNumberFormat="0" applyFill="0" applyAlignment="0" applyProtection="0">
      <alignment vertical="center"/>
    </xf>
    <xf numFmtId="0" fontId="235" fillId="0" borderId="130" applyNumberFormat="0" applyFill="0" applyAlignment="0" applyProtection="0">
      <alignment vertical="center"/>
    </xf>
    <xf numFmtId="0" fontId="235" fillId="0" borderId="130" applyNumberFormat="0" applyFill="0" applyAlignment="0" applyProtection="0">
      <alignment vertical="center"/>
    </xf>
    <xf numFmtId="0" fontId="235" fillId="0" borderId="130" applyNumberFormat="0" applyFill="0" applyAlignment="0" applyProtection="0">
      <alignment vertical="center"/>
    </xf>
    <xf numFmtId="0" fontId="235" fillId="0" borderId="130" applyNumberFormat="0" applyFill="0" applyAlignment="0" applyProtection="0">
      <alignment vertical="center"/>
    </xf>
    <xf numFmtId="0" fontId="235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5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4" fillId="0" borderId="130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7" fillId="0" borderId="131" applyNumberFormat="0" applyFill="0" applyAlignment="0" applyProtection="0">
      <alignment vertical="center"/>
    </xf>
    <xf numFmtId="0" fontId="237" fillId="0" borderId="131" applyNumberFormat="0" applyFill="0" applyAlignment="0" applyProtection="0">
      <alignment vertical="center"/>
    </xf>
    <xf numFmtId="0" fontId="237" fillId="0" borderId="131" applyNumberFormat="0" applyFill="0" applyAlignment="0" applyProtection="0">
      <alignment vertical="center"/>
    </xf>
    <xf numFmtId="0" fontId="237" fillId="0" borderId="131" applyNumberFormat="0" applyFill="0" applyAlignment="0" applyProtection="0">
      <alignment vertical="center"/>
    </xf>
    <xf numFmtId="0" fontId="237" fillId="0" borderId="131" applyNumberFormat="0" applyFill="0" applyAlignment="0" applyProtection="0">
      <alignment vertical="center"/>
    </xf>
    <xf numFmtId="0" fontId="237" fillId="0" borderId="131" applyNumberFormat="0" applyFill="0" applyAlignment="0" applyProtection="0">
      <alignment vertical="center"/>
    </xf>
    <xf numFmtId="0" fontId="237" fillId="0" borderId="131" applyNumberFormat="0" applyFill="0" applyAlignment="0" applyProtection="0">
      <alignment vertical="center"/>
    </xf>
    <xf numFmtId="0" fontId="237" fillId="0" borderId="131" applyNumberFormat="0" applyFill="0" applyAlignment="0" applyProtection="0">
      <alignment vertical="center"/>
    </xf>
    <xf numFmtId="0" fontId="237" fillId="0" borderId="131" applyNumberFormat="0" applyFill="0" applyAlignment="0" applyProtection="0">
      <alignment vertical="center"/>
    </xf>
    <xf numFmtId="0" fontId="237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7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0" fontId="236" fillId="0" borderId="131" applyNumberFormat="0" applyFill="0" applyAlignment="0" applyProtection="0">
      <alignment vertical="center"/>
    </xf>
    <xf numFmtId="218" fontId="118" fillId="0" borderId="0" applyFont="0" applyFill="0" applyBorder="0" applyAlignment="0" applyProtection="0"/>
    <xf numFmtId="180" fontId="116" fillId="0" borderId="0" applyFont="0" applyFill="0" applyBorder="0" applyAlignment="0" applyProtection="0"/>
    <xf numFmtId="219" fontId="119" fillId="0" borderId="0" applyFill="0" applyBorder="0" applyProtection="0">
      <alignment horizontal="right"/>
    </xf>
    <xf numFmtId="0" fontId="106" fillId="0" borderId="13">
      <alignment vertical="justify" wrapText="1"/>
    </xf>
    <xf numFmtId="0" fontId="119" fillId="0" borderId="0"/>
    <xf numFmtId="0" fontId="238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0" fontId="239" fillId="42" borderId="127" applyNumberFormat="0" applyAlignment="0" applyProtection="0">
      <alignment vertical="center"/>
    </xf>
    <xf numFmtId="0" fontId="239" fillId="42" borderId="127" applyNumberFormat="0" applyAlignment="0" applyProtection="0">
      <alignment vertical="center"/>
    </xf>
    <xf numFmtId="0" fontId="239" fillId="42" borderId="127" applyNumberFormat="0" applyAlignment="0" applyProtection="0">
      <alignment vertical="center"/>
    </xf>
    <xf numFmtId="0" fontId="239" fillId="42" borderId="127" applyNumberFormat="0" applyAlignment="0" applyProtection="0">
      <alignment vertical="center"/>
    </xf>
    <xf numFmtId="0" fontId="239" fillId="42" borderId="127" applyNumberFormat="0" applyAlignment="0" applyProtection="0">
      <alignment vertical="center"/>
    </xf>
    <xf numFmtId="0" fontId="239" fillId="42" borderId="127" applyNumberFormat="0" applyAlignment="0" applyProtection="0">
      <alignment vertical="center"/>
    </xf>
    <xf numFmtId="0" fontId="239" fillId="42" borderId="127" applyNumberFormat="0" applyAlignment="0" applyProtection="0">
      <alignment vertical="center"/>
    </xf>
    <xf numFmtId="0" fontId="239" fillId="42" borderId="127" applyNumberFormat="0" applyAlignment="0" applyProtection="0">
      <alignment vertical="center"/>
    </xf>
    <xf numFmtId="0" fontId="239" fillId="42" borderId="127" applyNumberFormat="0" applyAlignment="0" applyProtection="0">
      <alignment vertical="center"/>
    </xf>
    <xf numFmtId="0" fontId="239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0" fontId="239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0" fontId="238" fillId="42" borderId="127" applyNumberFormat="0" applyAlignment="0" applyProtection="0">
      <alignment vertical="center"/>
    </xf>
    <xf numFmtId="4" fontId="120" fillId="0" borderId="0" applyFont="0" applyFill="0" applyBorder="0" applyAlignment="0" applyProtection="0"/>
    <xf numFmtId="3" fontId="120" fillId="0" borderId="0" applyFont="0" applyFill="0" applyBorder="0" applyAlignment="0" applyProtection="0"/>
    <xf numFmtId="0" fontId="240" fillId="0" borderId="0" applyNumberFormat="0" applyFill="0" applyBorder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2" fillId="0" borderId="132" applyNumberFormat="0" applyFill="0" applyAlignment="0" applyProtection="0">
      <alignment vertical="center"/>
    </xf>
    <xf numFmtId="0" fontId="242" fillId="0" borderId="132" applyNumberFormat="0" applyFill="0" applyAlignment="0" applyProtection="0">
      <alignment vertical="center"/>
    </xf>
    <xf numFmtId="0" fontId="242" fillId="0" borderId="132" applyNumberFormat="0" applyFill="0" applyAlignment="0" applyProtection="0">
      <alignment vertical="center"/>
    </xf>
    <xf numFmtId="0" fontId="242" fillId="0" borderId="132" applyNumberFormat="0" applyFill="0" applyAlignment="0" applyProtection="0">
      <alignment vertical="center"/>
    </xf>
    <xf numFmtId="0" fontId="242" fillId="0" borderId="132" applyNumberFormat="0" applyFill="0" applyAlignment="0" applyProtection="0">
      <alignment vertical="center"/>
    </xf>
    <xf numFmtId="0" fontId="242" fillId="0" borderId="132" applyNumberFormat="0" applyFill="0" applyAlignment="0" applyProtection="0">
      <alignment vertical="center"/>
    </xf>
    <xf numFmtId="0" fontId="242" fillId="0" borderId="132" applyNumberFormat="0" applyFill="0" applyAlignment="0" applyProtection="0">
      <alignment vertical="center"/>
    </xf>
    <xf numFmtId="0" fontId="242" fillId="0" borderId="132" applyNumberFormat="0" applyFill="0" applyAlignment="0" applyProtection="0">
      <alignment vertical="center"/>
    </xf>
    <xf numFmtId="0" fontId="242" fillId="0" borderId="132" applyNumberFormat="0" applyFill="0" applyAlignment="0" applyProtection="0">
      <alignment vertical="center"/>
    </xf>
    <xf numFmtId="0" fontId="242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2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1" fillId="0" borderId="132" applyNumberFormat="0" applyFill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4" fillId="0" borderId="133" applyNumberFormat="0" applyFill="0" applyAlignment="0" applyProtection="0">
      <alignment vertical="center"/>
    </xf>
    <xf numFmtId="0" fontId="244" fillId="0" borderId="133" applyNumberFormat="0" applyFill="0" applyAlignment="0" applyProtection="0">
      <alignment vertical="center"/>
    </xf>
    <xf numFmtId="0" fontId="244" fillId="0" borderId="133" applyNumberFormat="0" applyFill="0" applyAlignment="0" applyProtection="0">
      <alignment vertical="center"/>
    </xf>
    <xf numFmtId="0" fontId="244" fillId="0" borderId="133" applyNumberFormat="0" applyFill="0" applyAlignment="0" applyProtection="0">
      <alignment vertical="center"/>
    </xf>
    <xf numFmtId="0" fontId="244" fillId="0" borderId="133" applyNumberFormat="0" applyFill="0" applyAlignment="0" applyProtection="0">
      <alignment vertical="center"/>
    </xf>
    <xf numFmtId="0" fontId="244" fillId="0" borderId="133" applyNumberFormat="0" applyFill="0" applyAlignment="0" applyProtection="0">
      <alignment vertical="center"/>
    </xf>
    <xf numFmtId="0" fontId="244" fillId="0" borderId="133" applyNumberFormat="0" applyFill="0" applyAlignment="0" applyProtection="0">
      <alignment vertical="center"/>
    </xf>
    <xf numFmtId="0" fontId="244" fillId="0" borderId="133" applyNumberFormat="0" applyFill="0" applyAlignment="0" applyProtection="0">
      <alignment vertical="center"/>
    </xf>
    <xf numFmtId="0" fontId="244" fillId="0" borderId="133" applyNumberFormat="0" applyFill="0" applyAlignment="0" applyProtection="0">
      <alignment vertical="center"/>
    </xf>
    <xf numFmtId="0" fontId="244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4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3" fillId="0" borderId="133" applyNumberFormat="0" applyFill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6" fillId="0" borderId="134" applyNumberFormat="0" applyFill="0" applyAlignment="0" applyProtection="0">
      <alignment vertical="center"/>
    </xf>
    <xf numFmtId="0" fontId="246" fillId="0" borderId="134" applyNumberFormat="0" applyFill="0" applyAlignment="0" applyProtection="0">
      <alignment vertical="center"/>
    </xf>
    <xf numFmtId="0" fontId="246" fillId="0" borderId="134" applyNumberFormat="0" applyFill="0" applyAlignment="0" applyProtection="0">
      <alignment vertical="center"/>
    </xf>
    <xf numFmtId="0" fontId="246" fillId="0" borderId="134" applyNumberFormat="0" applyFill="0" applyAlignment="0" applyProtection="0">
      <alignment vertical="center"/>
    </xf>
    <xf numFmtId="0" fontId="246" fillId="0" borderId="134" applyNumberFormat="0" applyFill="0" applyAlignment="0" applyProtection="0">
      <alignment vertical="center"/>
    </xf>
    <xf numFmtId="0" fontId="246" fillId="0" borderId="134" applyNumberFormat="0" applyFill="0" applyAlignment="0" applyProtection="0">
      <alignment vertical="center"/>
    </xf>
    <xf numFmtId="0" fontId="246" fillId="0" borderId="134" applyNumberFormat="0" applyFill="0" applyAlignment="0" applyProtection="0">
      <alignment vertical="center"/>
    </xf>
    <xf numFmtId="0" fontId="246" fillId="0" borderId="134" applyNumberFormat="0" applyFill="0" applyAlignment="0" applyProtection="0">
      <alignment vertical="center"/>
    </xf>
    <xf numFmtId="0" fontId="246" fillId="0" borderId="134" applyNumberFormat="0" applyFill="0" applyAlignment="0" applyProtection="0">
      <alignment vertical="center"/>
    </xf>
    <xf numFmtId="0" fontId="246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6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5" fillId="0" borderId="134" applyNumberFormat="0" applyFill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215" fontId="42" fillId="0" borderId="0">
      <alignment vertical="center"/>
    </xf>
    <xf numFmtId="215" fontId="42" fillId="0" borderId="0">
      <alignment vertical="center"/>
    </xf>
    <xf numFmtId="220" fontId="4" fillId="0" borderId="0" applyFill="0" applyBorder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42" fillId="0" borderId="0"/>
    <xf numFmtId="0" fontId="100" fillId="0" borderId="0"/>
    <xf numFmtId="41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221" fontId="116" fillId="0" borderId="0" applyFont="0" applyFill="0" applyBorder="0" applyProtection="0">
      <alignment horizontal="right" vertical="center"/>
    </xf>
    <xf numFmtId="0" fontId="249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250" fillId="37" borderId="135" applyNumberFormat="0" applyAlignment="0" applyProtection="0">
      <alignment vertical="center"/>
    </xf>
    <xf numFmtId="0" fontId="250" fillId="37" borderId="135" applyNumberFormat="0" applyAlignment="0" applyProtection="0">
      <alignment vertical="center"/>
    </xf>
    <xf numFmtId="0" fontId="250" fillId="37" borderId="135" applyNumberFormat="0" applyAlignment="0" applyProtection="0">
      <alignment vertical="center"/>
    </xf>
    <xf numFmtId="0" fontId="250" fillId="37" borderId="135" applyNumberFormat="0" applyAlignment="0" applyProtection="0">
      <alignment vertical="center"/>
    </xf>
    <xf numFmtId="0" fontId="250" fillId="37" borderId="135" applyNumberFormat="0" applyAlignment="0" applyProtection="0">
      <alignment vertical="center"/>
    </xf>
    <xf numFmtId="0" fontId="250" fillId="37" borderId="135" applyNumberFormat="0" applyAlignment="0" applyProtection="0">
      <alignment vertical="center"/>
    </xf>
    <xf numFmtId="0" fontId="250" fillId="37" borderId="135" applyNumberFormat="0" applyAlignment="0" applyProtection="0">
      <alignment vertical="center"/>
    </xf>
    <xf numFmtId="0" fontId="250" fillId="37" borderId="135" applyNumberFormat="0" applyAlignment="0" applyProtection="0">
      <alignment vertical="center"/>
    </xf>
    <xf numFmtId="0" fontId="250" fillId="37" borderId="135" applyNumberFormat="0" applyAlignment="0" applyProtection="0">
      <alignment vertical="center"/>
    </xf>
    <xf numFmtId="0" fontId="250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250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249" fillId="37" borderId="135" applyNumberFormat="0" applyAlignment="0" applyProtection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204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222" fontId="89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223" fontId="89" fillId="0" borderId="0" applyFont="0" applyFill="0" applyBorder="0" applyAlignment="0" applyProtection="0"/>
    <xf numFmtId="0" fontId="90" fillId="9" borderId="14"/>
    <xf numFmtId="9" fontId="120" fillId="0" borderId="0" applyFont="0" applyFill="0" applyBorder="0" applyAlignment="0" applyProtection="0"/>
    <xf numFmtId="224" fontId="42" fillId="0" borderId="9"/>
    <xf numFmtId="0" fontId="218" fillId="0" borderId="0">
      <alignment vertical="center"/>
    </xf>
    <xf numFmtId="0" fontId="212" fillId="0" borderId="0"/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2" fillId="0" borderId="0"/>
    <xf numFmtId="0" fontId="3" fillId="0" borderId="0"/>
    <xf numFmtId="0" fontId="3" fillId="0" borderId="0">
      <alignment vertical="center"/>
    </xf>
    <xf numFmtId="0" fontId="3" fillId="0" borderId="0"/>
    <xf numFmtId="0" fontId="4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2" fillId="0" borderId="0"/>
    <xf numFmtId="0" fontId="3" fillId="0" borderId="0">
      <alignment vertical="center"/>
    </xf>
    <xf numFmtId="0" fontId="218" fillId="0" borderId="0">
      <alignment vertical="center"/>
    </xf>
    <xf numFmtId="0" fontId="3" fillId="0" borderId="0">
      <alignment vertical="center"/>
    </xf>
    <xf numFmtId="0" fontId="212" fillId="0" borderId="0"/>
    <xf numFmtId="0" fontId="212" fillId="0" borderId="0"/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8" fillId="0" borderId="0">
      <alignment vertical="center"/>
    </xf>
    <xf numFmtId="0" fontId="251" fillId="0" borderId="0">
      <alignment vertical="center"/>
    </xf>
    <xf numFmtId="0" fontId="251" fillId="0" borderId="0">
      <alignment vertical="center"/>
    </xf>
    <xf numFmtId="0" fontId="42" fillId="0" borderId="0"/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42" fillId="0" borderId="0"/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2" fillId="0" borderId="0"/>
    <xf numFmtId="0" fontId="218" fillId="0" borderId="0">
      <alignment vertical="center"/>
    </xf>
    <xf numFmtId="0" fontId="212" fillId="0" borderId="0"/>
    <xf numFmtId="0" fontId="212" fillId="0" borderId="0"/>
    <xf numFmtId="0" fontId="218" fillId="0" borderId="0">
      <alignment vertical="center"/>
    </xf>
    <xf numFmtId="0" fontId="121" fillId="0" borderId="0"/>
    <xf numFmtId="0" fontId="3" fillId="0" borderId="0"/>
    <xf numFmtId="0" fontId="3" fillId="0" borderId="0"/>
    <xf numFmtId="0" fontId="42" fillId="0" borderId="0"/>
    <xf numFmtId="38" fontId="4" fillId="4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1" fillId="0" borderId="15">
      <protection locked="0"/>
    </xf>
    <xf numFmtId="40" fontId="122" fillId="0" borderId="0" applyFont="0" applyFill="0" applyBorder="0" applyAlignment="0" applyProtection="0"/>
    <xf numFmtId="38" fontId="122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225" fontId="119" fillId="0" borderId="0" applyFont="0" applyFill="0" applyBorder="0" applyAlignment="0" applyProtection="0"/>
    <xf numFmtId="226" fontId="119" fillId="0" borderId="0" applyFont="0" applyFill="0" applyBorder="0" applyAlignment="0" applyProtection="0"/>
    <xf numFmtId="0" fontId="120" fillId="0" borderId="0" applyFont="0" applyFill="0" applyBorder="0" applyAlignment="0" applyProtection="0"/>
    <xf numFmtId="0" fontId="120" fillId="0" borderId="0" applyFont="0" applyFill="0" applyBorder="0" applyAlignment="0" applyProtection="0"/>
    <xf numFmtId="197" fontId="108" fillId="0" borderId="0">
      <alignment horizontal="right" vertical="center"/>
    </xf>
  </cellStyleXfs>
  <cellXfs count="1376">
    <xf numFmtId="0" fontId="0" fillId="0" borderId="0" xfId="0">
      <alignment vertical="center"/>
    </xf>
    <xf numFmtId="38" fontId="0" fillId="0" borderId="0" xfId="0" applyNumberFormat="1" applyAlignment="1"/>
    <xf numFmtId="38" fontId="7" fillId="4" borderId="0" xfId="2121" applyFont="1" applyAlignment="1"/>
    <xf numFmtId="38" fontId="9" fillId="4" borderId="0" xfId="2121" applyFont="1"/>
    <xf numFmtId="38" fontId="10" fillId="4" borderId="0" xfId="2121" applyFont="1"/>
    <xf numFmtId="38" fontId="13" fillId="0" borderId="0" xfId="0" applyNumberFormat="1" applyFont="1" applyAlignment="1">
      <alignment horizontal="left"/>
    </xf>
    <xf numFmtId="38" fontId="13" fillId="0" borderId="0" xfId="0" applyNumberFormat="1" applyFont="1" applyAlignment="1">
      <alignment horizontal="right"/>
    </xf>
    <xf numFmtId="38" fontId="10" fillId="0" borderId="0" xfId="0" applyNumberFormat="1" applyFont="1" applyAlignment="1"/>
    <xf numFmtId="38" fontId="10" fillId="4" borderId="0" xfId="2121" applyFont="1" applyAlignment="1"/>
    <xf numFmtId="38" fontId="14" fillId="0" borderId="0" xfId="0" applyNumberFormat="1" applyFont="1" applyAlignment="1"/>
    <xf numFmtId="38" fontId="12" fillId="0" borderId="0" xfId="0" applyNumberFormat="1" applyFont="1" applyAlignment="1"/>
    <xf numFmtId="38" fontId="13" fillId="4" borderId="0" xfId="2121" applyFont="1" applyAlignment="1">
      <alignment horizontal="right"/>
    </xf>
    <xf numFmtId="38" fontId="13" fillId="0" borderId="0" xfId="0" applyNumberFormat="1" applyFont="1" applyAlignment="1"/>
    <xf numFmtId="38" fontId="13" fillId="0" borderId="0" xfId="0" quotePrefix="1" applyNumberFormat="1" applyFont="1" applyAlignment="1">
      <alignment horizontal="right"/>
    </xf>
    <xf numFmtId="0" fontId="8" fillId="4" borderId="0" xfId="0" applyNumberFormat="1" applyFont="1" applyFill="1" applyBorder="1" applyAlignment="1">
      <alignment horizontal="right" vertical="center"/>
    </xf>
    <xf numFmtId="38" fontId="10" fillId="4" borderId="0" xfId="2121" applyFont="1" applyFill="1" applyBorder="1"/>
    <xf numFmtId="38" fontId="13" fillId="4" borderId="0" xfId="2121" applyFont="1" applyAlignment="1"/>
    <xf numFmtId="0" fontId="7" fillId="4" borderId="0" xfId="0" applyNumberFormat="1" applyFont="1" applyFill="1" applyBorder="1" applyAlignment="1">
      <alignment vertical="center"/>
    </xf>
    <xf numFmtId="38" fontId="13" fillId="4" borderId="0" xfId="212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right" vertical="center"/>
    </xf>
    <xf numFmtId="38" fontId="4" fillId="4" borderId="0" xfId="2121" quotePrefix="1" applyFont="1" applyAlignment="1"/>
    <xf numFmtId="38" fontId="17" fillId="0" borderId="0" xfId="0" applyNumberFormat="1" applyFont="1" applyAlignment="1"/>
    <xf numFmtId="38" fontId="4" fillId="4" borderId="0" xfId="2121" applyFont="1" applyAlignment="1"/>
    <xf numFmtId="38" fontId="10" fillId="4" borderId="0" xfId="2121" applyFont="1" applyAlignment="1">
      <alignment horizontal="left"/>
    </xf>
    <xf numFmtId="38" fontId="4" fillId="4" borderId="0" xfId="2121" quotePrefix="1" applyFont="1" applyAlignment="1">
      <alignment wrapText="1"/>
    </xf>
    <xf numFmtId="38" fontId="13" fillId="4" borderId="0" xfId="2121" applyFont="1" applyAlignment="1">
      <alignment wrapText="1"/>
    </xf>
    <xf numFmtId="38" fontId="10" fillId="4" borderId="0" xfId="0" applyNumberFormat="1" applyFont="1" applyFill="1" applyBorder="1" applyAlignment="1"/>
    <xf numFmtId="38" fontId="13" fillId="4" borderId="0" xfId="2121" applyFont="1"/>
    <xf numFmtId="38" fontId="18" fillId="0" borderId="0" xfId="0" applyNumberFormat="1" applyFont="1" applyAlignment="1">
      <alignment horizontal="right"/>
    </xf>
    <xf numFmtId="38" fontId="20" fillId="0" borderId="16" xfId="0" applyNumberFormat="1" applyFont="1" applyFill="1" applyBorder="1" applyAlignment="1"/>
    <xf numFmtId="0" fontId="21" fillId="0" borderId="16" xfId="2123" applyNumberFormat="1" applyFont="1" applyFill="1" applyBorder="1" applyAlignment="1" applyProtection="1">
      <alignment horizontal="left" vertical="center"/>
    </xf>
    <xf numFmtId="38" fontId="20" fillId="0" borderId="0" xfId="0" applyNumberFormat="1" applyFont="1" applyFill="1" applyBorder="1" applyAlignment="1"/>
    <xf numFmtId="38" fontId="22" fillId="0" borderId="0" xfId="0" applyNumberFormat="1" applyFont="1" applyFill="1" applyBorder="1" applyAlignment="1"/>
    <xf numFmtId="38" fontId="20" fillId="0" borderId="17" xfId="0" applyNumberFormat="1" applyFont="1" applyFill="1" applyBorder="1" applyAlignment="1"/>
    <xf numFmtId="38" fontId="24" fillId="4" borderId="0" xfId="2123" applyNumberFormat="1" applyFont="1" applyFill="1" applyBorder="1" applyAlignment="1" applyProtection="1">
      <alignment horizontal="right"/>
    </xf>
    <xf numFmtId="38" fontId="25" fillId="0" borderId="0" xfId="0" applyNumberFormat="1" applyFont="1" applyBorder="1" applyAlignment="1">
      <alignment horizontal="left" vertical="center"/>
    </xf>
    <xf numFmtId="38" fontId="17" fillId="0" borderId="0" xfId="0" applyNumberFormat="1" applyFont="1" applyBorder="1" applyAlignment="1">
      <alignment horizontal="left" vertical="center"/>
    </xf>
    <xf numFmtId="38" fontId="27" fillId="0" borderId="0" xfId="0" applyNumberFormat="1" applyFont="1" applyBorder="1" applyAlignment="1">
      <alignment horizontal="center" vertical="center"/>
    </xf>
    <xf numFmtId="38" fontId="28" fillId="10" borderId="0" xfId="0" applyNumberFormat="1" applyFont="1" applyFill="1" applyBorder="1" applyAlignment="1">
      <alignment horizontal="right" vertical="center"/>
    </xf>
    <xf numFmtId="177" fontId="28" fillId="10" borderId="0" xfId="0" applyNumberFormat="1" applyFont="1" applyFill="1" applyBorder="1" applyAlignment="1">
      <alignment horizontal="right" vertical="center"/>
    </xf>
    <xf numFmtId="178" fontId="29" fillId="10" borderId="0" xfId="0" applyNumberFormat="1" applyFont="1" applyFill="1" applyBorder="1" applyAlignment="1">
      <alignment horizontal="right" vertical="center"/>
    </xf>
    <xf numFmtId="38" fontId="30" fillId="0" borderId="0" xfId="0" applyNumberFormat="1" applyFont="1" applyBorder="1" applyAlignment="1">
      <alignment horizontal="right" vertical="center"/>
    </xf>
    <xf numFmtId="38" fontId="4" fillId="4" borderId="0" xfId="0" applyNumberFormat="1" applyFont="1" applyFill="1" applyBorder="1" applyAlignment="1"/>
    <xf numFmtId="37" fontId="30" fillId="4" borderId="0" xfId="1545" applyNumberFormat="1" applyFont="1" applyFill="1" applyBorder="1" applyAlignment="1">
      <alignment vertical="center" wrapText="1"/>
    </xf>
    <xf numFmtId="37" fontId="30" fillId="0" borderId="0" xfId="1545" applyNumberFormat="1" applyFont="1" applyBorder="1" applyAlignment="1">
      <alignment horizontal="right" vertical="center" wrapText="1"/>
    </xf>
    <xf numFmtId="37" fontId="30" fillId="4" borderId="13" xfId="1545" applyNumberFormat="1" applyFont="1" applyFill="1" applyBorder="1" applyAlignment="1">
      <alignment vertical="center"/>
    </xf>
    <xf numFmtId="38" fontId="13" fillId="0" borderId="0" xfId="0" applyNumberFormat="1" applyFont="1" applyFill="1" applyBorder="1" applyAlignment="1"/>
    <xf numFmtId="38" fontId="30" fillId="0" borderId="0" xfId="0" applyNumberFormat="1" applyFont="1" applyFill="1" applyBorder="1" applyAlignment="1">
      <alignment vertical="center"/>
    </xf>
    <xf numFmtId="37" fontId="30" fillId="0" borderId="18" xfId="1545" applyNumberFormat="1" applyFont="1" applyFill="1" applyBorder="1" applyAlignment="1">
      <alignment horizontal="right" vertical="center" wrapText="1"/>
    </xf>
    <xf numFmtId="37" fontId="30" fillId="4" borderId="19" xfId="1545" applyNumberFormat="1" applyFont="1" applyFill="1" applyBorder="1" applyAlignment="1">
      <alignment vertical="center" wrapText="1"/>
    </xf>
    <xf numFmtId="37" fontId="22" fillId="0" borderId="0" xfId="1545" applyNumberFormat="1" applyFont="1" applyBorder="1" applyAlignment="1">
      <alignment horizontal="right" vertical="center"/>
    </xf>
    <xf numFmtId="37" fontId="30" fillId="0" borderId="13" xfId="1545" applyNumberFormat="1" applyFont="1" applyFill="1" applyBorder="1" applyAlignment="1">
      <alignment horizontal="right" vertical="center" wrapText="1"/>
    </xf>
    <xf numFmtId="37" fontId="30" fillId="4" borderId="20" xfId="1545" applyNumberFormat="1" applyFont="1" applyFill="1" applyBorder="1" applyAlignment="1">
      <alignment horizontal="right" vertical="center" wrapText="1"/>
    </xf>
    <xf numFmtId="38" fontId="20" fillId="0" borderId="18" xfId="0" applyNumberFormat="1" applyFont="1" applyFill="1" applyBorder="1" applyAlignment="1"/>
    <xf numFmtId="38" fontId="32" fillId="4" borderId="0" xfId="0" applyNumberFormat="1" applyFont="1" applyFill="1" applyBorder="1" applyAlignment="1">
      <alignment horizontal="center"/>
    </xf>
    <xf numFmtId="38" fontId="33" fillId="4" borderId="0" xfId="0" applyNumberFormat="1" applyFont="1" applyFill="1" applyBorder="1" applyAlignment="1"/>
    <xf numFmtId="37" fontId="25" fillId="0" borderId="0" xfId="1545" applyNumberFormat="1" applyFont="1" applyBorder="1" applyAlignment="1">
      <alignment horizontal="right" vertical="center"/>
    </xf>
    <xf numFmtId="37" fontId="30" fillId="4" borderId="20" xfId="1545" applyNumberFormat="1" applyFont="1" applyFill="1" applyBorder="1" applyAlignment="1">
      <alignment vertical="center" wrapText="1"/>
    </xf>
    <xf numFmtId="38" fontId="20" fillId="0" borderId="13" xfId="0" applyNumberFormat="1" applyFont="1" applyFill="1" applyBorder="1" applyAlignment="1"/>
    <xf numFmtId="37" fontId="22" fillId="0" borderId="0" xfId="1545" applyNumberFormat="1" applyFont="1" applyFill="1" applyBorder="1" applyAlignment="1">
      <alignment horizontal="right" vertical="center"/>
    </xf>
    <xf numFmtId="38" fontId="4" fillId="0" borderId="17" xfId="0" applyNumberFormat="1" applyFont="1" applyFill="1" applyBorder="1" applyAlignment="1"/>
    <xf numFmtId="38" fontId="4" fillId="0" borderId="0" xfId="0" applyNumberFormat="1" applyFont="1" applyFill="1" applyBorder="1" applyAlignment="1"/>
    <xf numFmtId="37" fontId="30" fillId="4" borderId="18" xfId="1545" applyNumberFormat="1" applyFont="1" applyFill="1" applyBorder="1" applyAlignment="1">
      <alignment vertical="center"/>
    </xf>
    <xf numFmtId="37" fontId="34" fillId="0" borderId="0" xfId="1545" applyNumberFormat="1" applyFont="1" applyBorder="1" applyAlignment="1">
      <alignment vertical="center"/>
    </xf>
    <xf numFmtId="37" fontId="30" fillId="4" borderId="21" xfId="0" applyNumberFormat="1" applyFont="1" applyFill="1" applyBorder="1" applyAlignment="1">
      <alignment vertical="center"/>
    </xf>
    <xf numFmtId="37" fontId="30" fillId="4" borderId="18" xfId="0" applyNumberFormat="1" applyFont="1" applyFill="1" applyBorder="1" applyAlignment="1">
      <alignment vertical="center"/>
    </xf>
    <xf numFmtId="38" fontId="4" fillId="0" borderId="17" xfId="0" applyNumberFormat="1" applyFont="1" applyFill="1" applyBorder="1" applyAlignment="1">
      <alignment vertical="top"/>
    </xf>
    <xf numFmtId="38" fontId="4" fillId="0" borderId="0" xfId="0" applyNumberFormat="1" applyFont="1" applyFill="1" applyBorder="1" applyAlignment="1">
      <alignment vertical="top"/>
    </xf>
    <xf numFmtId="37" fontId="30" fillId="0" borderId="0" xfId="0" applyNumberFormat="1" applyFont="1" applyBorder="1" applyAlignment="1">
      <alignment horizontal="left" vertical="center" wrapText="1"/>
    </xf>
    <xf numFmtId="38" fontId="4" fillId="4" borderId="0" xfId="0" applyNumberFormat="1" applyFont="1" applyFill="1" applyBorder="1" applyAlignment="1">
      <alignment vertical="top"/>
    </xf>
    <xf numFmtId="37" fontId="25" fillId="0" borderId="0" xfId="0" applyNumberFormat="1" applyFont="1" applyFill="1" applyBorder="1" applyAlignment="1">
      <alignment horizontal="right"/>
    </xf>
    <xf numFmtId="38" fontId="30" fillId="0" borderId="0" xfId="0" applyNumberFormat="1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>
      <alignment vertical="center"/>
    </xf>
    <xf numFmtId="37" fontId="25" fillId="0" borderId="0" xfId="0" applyNumberFormat="1" applyFont="1" applyFill="1" applyBorder="1" applyAlignment="1">
      <alignment horizontal="right" vertical="center"/>
    </xf>
    <xf numFmtId="37" fontId="25" fillId="0" borderId="0" xfId="0" applyNumberFormat="1" applyFont="1" applyBorder="1" applyAlignment="1">
      <alignment horizontal="right"/>
    </xf>
    <xf numFmtId="38" fontId="20" fillId="11" borderId="0" xfId="0" applyNumberFormat="1" applyFont="1" applyFill="1" applyBorder="1" applyAlignment="1"/>
    <xf numFmtId="38" fontId="10" fillId="0" borderId="0" xfId="0" applyNumberFormat="1" applyFont="1" applyFill="1" applyBorder="1" applyAlignment="1"/>
    <xf numFmtId="37" fontId="30" fillId="4" borderId="0" xfId="0" applyNumberFormat="1" applyFont="1" applyFill="1" applyBorder="1" applyAlignment="1">
      <alignment vertical="center"/>
    </xf>
    <xf numFmtId="38" fontId="20" fillId="4" borderId="0" xfId="0" applyNumberFormat="1" applyFont="1" applyFill="1" applyBorder="1" applyAlignment="1"/>
    <xf numFmtId="0" fontId="25" fillId="0" borderId="0" xfId="0" applyNumberFormat="1" applyFont="1" applyBorder="1" applyAlignment="1">
      <alignment horizontal="left" vertical="center"/>
    </xf>
    <xf numFmtId="177" fontId="20" fillId="0" borderId="0" xfId="0" applyNumberFormat="1" applyFont="1" applyFill="1" applyBorder="1" applyAlignment="1"/>
    <xf numFmtId="0" fontId="37" fillId="0" borderId="0" xfId="0" applyNumberFormat="1" applyFont="1" applyBorder="1" applyAlignment="1">
      <alignment horizontal="left" vertical="center"/>
    </xf>
    <xf numFmtId="38" fontId="36" fillId="0" borderId="0" xfId="0" applyNumberFormat="1" applyFont="1" applyBorder="1" applyAlignment="1">
      <alignment horizontal="left" vertical="center" wrapText="1"/>
    </xf>
    <xf numFmtId="38" fontId="36" fillId="0" borderId="0" xfId="0" applyNumberFormat="1" applyFont="1" applyBorder="1" applyAlignment="1">
      <alignment vertical="center" wrapText="1"/>
    </xf>
    <xf numFmtId="38" fontId="38" fillId="0" borderId="0" xfId="0" applyNumberFormat="1" applyFont="1" applyBorder="1" applyAlignment="1">
      <alignment horizontal="left" vertical="center"/>
    </xf>
    <xf numFmtId="38" fontId="40" fillId="0" borderId="0" xfId="0" applyNumberFormat="1" applyFont="1" applyFill="1" applyBorder="1" applyAlignment="1"/>
    <xf numFmtId="38" fontId="20" fillId="4" borderId="16" xfId="0" applyNumberFormat="1" applyFont="1" applyFill="1" applyBorder="1" applyAlignment="1"/>
    <xf numFmtId="38" fontId="41" fillId="0" borderId="0" xfId="0" applyNumberFormat="1" applyFont="1" applyFill="1" applyBorder="1" applyAlignment="1"/>
    <xf numFmtId="177" fontId="41" fillId="0" borderId="0" xfId="0" applyNumberFormat="1" applyFont="1" applyFill="1" applyBorder="1" applyAlignment="1"/>
    <xf numFmtId="38" fontId="22" fillId="0" borderId="0" xfId="0" applyNumberFormat="1" applyFont="1" applyFill="1" applyBorder="1" applyAlignment="1">
      <alignment horizontal="right"/>
    </xf>
    <xf numFmtId="38" fontId="46" fillId="0" borderId="17" xfId="0" applyNumberFormat="1" applyFont="1" applyFill="1" applyBorder="1" applyAlignment="1"/>
    <xf numFmtId="177" fontId="34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/>
    <xf numFmtId="177" fontId="10" fillId="0" borderId="0" xfId="0" applyNumberFormat="1" applyFont="1" applyFill="1" applyBorder="1" applyAlignment="1"/>
    <xf numFmtId="177" fontId="10" fillId="0" borderId="0" xfId="1406" applyNumberFormat="1" applyFont="1" applyFill="1" applyBorder="1" applyAlignment="1"/>
    <xf numFmtId="38" fontId="51" fillId="0" borderId="0" xfId="0" applyNumberFormat="1" applyFont="1" applyBorder="1" applyAlignment="1">
      <alignment vertical="center"/>
    </xf>
    <xf numFmtId="38" fontId="52" fillId="0" borderId="22" xfId="0" applyNumberFormat="1" applyFont="1" applyFill="1" applyBorder="1" applyAlignment="1"/>
    <xf numFmtId="0" fontId="21" fillId="0" borderId="22" xfId="2123" applyNumberFormat="1" applyFont="1" applyFill="1" applyBorder="1" applyAlignment="1" applyProtection="1">
      <alignment horizontal="left" vertical="center"/>
    </xf>
    <xf numFmtId="38" fontId="52" fillId="0" borderId="0" xfId="0" applyNumberFormat="1" applyFont="1" applyFill="1" applyBorder="1" applyAlignment="1"/>
    <xf numFmtId="0" fontId="21" fillId="0" borderId="0" xfId="2123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>
      <alignment vertical="center"/>
    </xf>
    <xf numFmtId="38" fontId="55" fillId="0" borderId="0" xfId="0" applyNumberFormat="1" applyFont="1" applyBorder="1" applyAlignment="1"/>
    <xf numFmtId="38" fontId="52" fillId="0" borderId="17" xfId="0" applyNumberFormat="1" applyFont="1" applyFill="1" applyBorder="1" applyAlignment="1"/>
    <xf numFmtId="182" fontId="55" fillId="0" borderId="0" xfId="0" applyNumberFormat="1" applyFont="1" applyBorder="1" applyAlignment="1"/>
    <xf numFmtId="181" fontId="55" fillId="4" borderId="0" xfId="1553" applyNumberFormat="1" applyFont="1" applyFill="1" applyBorder="1" applyAlignment="1"/>
    <xf numFmtId="38" fontId="29" fillId="0" borderId="0" xfId="0" applyNumberFormat="1" applyFont="1" applyFill="1" applyBorder="1" applyAlignment="1">
      <alignment vertical="center"/>
    </xf>
    <xf numFmtId="38" fontId="39" fillId="0" borderId="0" xfId="0" applyNumberFormat="1" applyFont="1" applyAlignment="1">
      <alignment horizontal="left" vertical="center"/>
    </xf>
    <xf numFmtId="38" fontId="52" fillId="4" borderId="0" xfId="0" applyNumberFormat="1" applyFont="1" applyFill="1" applyBorder="1" applyAlignment="1"/>
    <xf numFmtId="38" fontId="55" fillId="0" borderId="0" xfId="0" applyNumberFormat="1" applyFont="1" applyFill="1" applyBorder="1" applyAlignment="1"/>
    <xf numFmtId="38" fontId="59" fillId="0" borderId="22" xfId="0" applyNumberFormat="1" applyFont="1" applyBorder="1" applyAlignment="1"/>
    <xf numFmtId="38" fontId="59" fillId="0" borderId="22" xfId="0" applyNumberFormat="1" applyFont="1" applyFill="1" applyBorder="1" applyAlignment="1"/>
    <xf numFmtId="38" fontId="59" fillId="0" borderId="0" xfId="0" applyNumberFormat="1" applyFont="1" applyFill="1" applyBorder="1" applyAlignment="1"/>
    <xf numFmtId="38" fontId="59" fillId="0" borderId="0" xfId="0" applyNumberFormat="1" applyFont="1" applyAlignment="1"/>
    <xf numFmtId="38" fontId="59" fillId="0" borderId="17" xfId="0" applyNumberFormat="1" applyFont="1" applyBorder="1" applyAlignment="1"/>
    <xf numFmtId="0" fontId="17" fillId="0" borderId="0" xfId="2123" applyNumberFormat="1" applyFont="1" applyFill="1" applyBorder="1" applyAlignment="1" applyProtection="1">
      <alignment horizontal="left" vertical="center"/>
    </xf>
    <xf numFmtId="38" fontId="60" fillId="0" borderId="17" xfId="0" applyNumberFormat="1" applyFont="1" applyBorder="1" applyAlignment="1"/>
    <xf numFmtId="38" fontId="60" fillId="0" borderId="0" xfId="0" applyNumberFormat="1" applyFont="1" applyAlignment="1"/>
    <xf numFmtId="38" fontId="30" fillId="0" borderId="0" xfId="0" applyNumberFormat="1" applyFont="1" applyBorder="1" applyAlignment="1">
      <alignment vertical="center" wrapText="1"/>
    </xf>
    <xf numFmtId="38" fontId="29" fillId="0" borderId="0" xfId="0" applyNumberFormat="1" applyFont="1" applyFill="1" applyBorder="1" applyAlignment="1"/>
    <xf numFmtId="38" fontId="29" fillId="0" borderId="0" xfId="0" applyNumberFormat="1" applyFont="1" applyFill="1" applyBorder="1" applyAlignment="1">
      <alignment horizontal="right" vertical="center" wrapText="1"/>
    </xf>
    <xf numFmtId="38" fontId="29" fillId="0" borderId="0" xfId="0" applyNumberFormat="1" applyFont="1" applyFill="1" applyBorder="1" applyAlignment="1">
      <alignment horizontal="center" vertical="center" wrapText="1"/>
    </xf>
    <xf numFmtId="38" fontId="30" fillId="0" borderId="0" xfId="0" applyNumberFormat="1" applyFont="1" applyFill="1" applyBorder="1" applyAlignment="1"/>
    <xf numFmtId="38" fontId="30" fillId="4" borderId="0" xfId="0" applyNumberFormat="1" applyFont="1" applyFill="1" applyBorder="1" applyAlignment="1"/>
    <xf numFmtId="3" fontId="30" fillId="0" borderId="0" xfId="0" applyNumberFormat="1" applyFont="1" applyFill="1" applyBorder="1" applyAlignment="1"/>
    <xf numFmtId="182" fontId="30" fillId="0" borderId="0" xfId="0" applyNumberFormat="1" applyFont="1" applyFill="1" applyBorder="1" applyAlignment="1"/>
    <xf numFmtId="38" fontId="34" fillId="0" borderId="0" xfId="0" applyNumberFormat="1" applyFont="1" applyBorder="1" applyAlignment="1"/>
    <xf numFmtId="3" fontId="34" fillId="0" borderId="0" xfId="0" applyNumberFormat="1" applyFont="1" applyFill="1" applyBorder="1" applyAlignment="1"/>
    <xf numFmtId="182" fontId="34" fillId="0" borderId="0" xfId="0" applyNumberFormat="1" applyFont="1" applyFill="1" applyBorder="1" applyAlignment="1"/>
    <xf numFmtId="38" fontId="34" fillId="0" borderId="0" xfId="0" applyNumberFormat="1" applyFont="1" applyFill="1" applyBorder="1" applyAlignment="1"/>
    <xf numFmtId="182" fontId="34" fillId="0" borderId="0" xfId="1406" applyNumberFormat="1" applyFont="1" applyFill="1" applyBorder="1" applyAlignment="1"/>
    <xf numFmtId="38" fontId="60" fillId="0" borderId="0" xfId="0" applyNumberFormat="1" applyFont="1" applyAlignment="1">
      <alignment horizontal="left" vertical="center"/>
    </xf>
    <xf numFmtId="38" fontId="59" fillId="0" borderId="0" xfId="0" applyNumberFormat="1" applyFont="1" applyBorder="1" applyAlignment="1"/>
    <xf numFmtId="184" fontId="59" fillId="0" borderId="0" xfId="0" applyNumberFormat="1" applyFont="1" applyBorder="1" applyAlignment="1"/>
    <xf numFmtId="38" fontId="60" fillId="0" borderId="0" xfId="0" applyNumberFormat="1" applyFont="1" applyAlignment="1">
      <alignment vertical="center" wrapText="1"/>
    </xf>
    <xf numFmtId="38" fontId="60" fillId="0" borderId="0" xfId="0" applyNumberFormat="1" applyFont="1" applyBorder="1" applyAlignment="1"/>
    <xf numFmtId="38" fontId="34" fillId="4" borderId="0" xfId="0" applyNumberFormat="1" applyFont="1" applyFill="1" applyBorder="1" applyAlignment="1"/>
    <xf numFmtId="38" fontId="30" fillId="0" borderId="0" xfId="0" applyNumberFormat="1" applyFont="1" applyBorder="1" applyAlignment="1"/>
    <xf numFmtId="38" fontId="29" fillId="0" borderId="22" xfId="0" applyNumberFormat="1" applyFont="1" applyFill="1" applyBorder="1" applyAlignment="1"/>
    <xf numFmtId="38" fontId="29" fillId="0" borderId="17" xfId="0" applyNumberFormat="1" applyFont="1" applyFill="1" applyBorder="1" applyAlignment="1"/>
    <xf numFmtId="38" fontId="61" fillId="0" borderId="0" xfId="2123" applyNumberFormat="1" applyFont="1" applyFill="1" applyBorder="1" applyAlignment="1" applyProtection="1">
      <alignment horizontal="left"/>
    </xf>
    <xf numFmtId="38" fontId="62" fillId="0" borderId="0" xfId="2123" applyNumberFormat="1" applyFont="1" applyFill="1" applyBorder="1" applyAlignment="1" applyProtection="1">
      <alignment horizontal="left" vertical="center" wrapText="1"/>
    </xf>
    <xf numFmtId="38" fontId="30" fillId="0" borderId="17" xfId="0" applyNumberFormat="1" applyFont="1" applyBorder="1" applyAlignment="1"/>
    <xf numFmtId="38" fontId="30" fillId="0" borderId="0" xfId="0" applyNumberFormat="1" applyFont="1" applyAlignment="1"/>
    <xf numFmtId="38" fontId="30" fillId="4" borderId="0" xfId="0" applyNumberFormat="1" applyFont="1" applyFill="1" applyBorder="1" applyAlignment="1">
      <alignment horizontal="right"/>
    </xf>
    <xf numFmtId="38" fontId="39" fillId="4" borderId="0" xfId="0" applyNumberFormat="1" applyFont="1" applyFill="1" applyBorder="1" applyAlignment="1">
      <alignment horizontal="right"/>
    </xf>
    <xf numFmtId="38" fontId="29" fillId="10" borderId="0" xfId="0" applyNumberFormat="1" applyFont="1" applyFill="1" applyBorder="1" applyAlignment="1">
      <alignment horizontal="right" vertical="center"/>
    </xf>
    <xf numFmtId="38" fontId="29" fillId="0" borderId="0" xfId="0" applyNumberFormat="1" applyFont="1" applyFill="1" applyBorder="1" applyAlignment="1">
      <alignment horizontal="right" vertical="center"/>
    </xf>
    <xf numFmtId="38" fontId="29" fillId="0" borderId="0" xfId="0" applyNumberFormat="1" applyFont="1" applyFill="1" applyBorder="1" applyAlignment="1">
      <alignment horizontal="right"/>
    </xf>
    <xf numFmtId="9" fontId="34" fillId="4" borderId="21" xfId="1406" applyFont="1" applyFill="1" applyBorder="1" applyAlignment="1"/>
    <xf numFmtId="9" fontId="34" fillId="4" borderId="0" xfId="1406" applyFont="1" applyFill="1" applyBorder="1" applyAlignment="1"/>
    <xf numFmtId="185" fontId="49" fillId="4" borderId="21" xfId="1406" applyNumberFormat="1" applyFont="1" applyFill="1" applyBorder="1" applyAlignment="1"/>
    <xf numFmtId="182" fontId="30" fillId="4" borderId="0" xfId="1406" applyNumberFormat="1" applyFont="1" applyFill="1" applyBorder="1" applyAlignment="1"/>
    <xf numFmtId="182" fontId="30" fillId="0" borderId="0" xfId="1406" applyNumberFormat="1" applyFont="1" applyFill="1" applyBorder="1" applyAlignment="1"/>
    <xf numFmtId="182" fontId="30" fillId="4" borderId="0" xfId="1406" applyNumberFormat="1" applyFont="1" applyFill="1" applyAlignment="1"/>
    <xf numFmtId="185" fontId="34" fillId="4" borderId="23" xfId="1406" applyNumberFormat="1" applyFont="1" applyFill="1" applyBorder="1" applyAlignment="1">
      <alignment horizontal="left"/>
    </xf>
    <xf numFmtId="182" fontId="34" fillId="4" borderId="0" xfId="1406" applyNumberFormat="1" applyFont="1" applyFill="1" applyBorder="1" applyAlignment="1"/>
    <xf numFmtId="38" fontId="30" fillId="4" borderId="0" xfId="0" applyNumberFormat="1" applyFont="1" applyFill="1" applyBorder="1" applyAlignment="1">
      <alignment horizontal="left"/>
    </xf>
    <xf numFmtId="38" fontId="50" fillId="0" borderId="0" xfId="0" applyNumberFormat="1" applyFont="1" applyFill="1" applyBorder="1" applyAlignment="1">
      <alignment horizontal="right"/>
    </xf>
    <xf numFmtId="0" fontId="34" fillId="0" borderId="0" xfId="1406" applyNumberFormat="1" applyFont="1" applyFill="1" applyBorder="1" applyAlignment="1"/>
    <xf numFmtId="185" fontId="49" fillId="0" borderId="0" xfId="1406" applyNumberFormat="1" applyFont="1" applyFill="1" applyBorder="1" applyAlignment="1"/>
    <xf numFmtId="40" fontId="49" fillId="0" borderId="0" xfId="1406" applyNumberFormat="1" applyFont="1" applyFill="1" applyBorder="1" applyAlignment="1"/>
    <xf numFmtId="185" fontId="34" fillId="0" borderId="0" xfId="1406" applyNumberFormat="1" applyFont="1" applyFill="1" applyBorder="1" applyAlignment="1">
      <alignment horizontal="right"/>
    </xf>
    <xf numFmtId="185" fontId="34" fillId="0" borderId="0" xfId="1406" applyNumberFormat="1" applyFont="1" applyFill="1" applyBorder="1" applyAlignment="1">
      <alignment horizontal="left"/>
    </xf>
    <xf numFmtId="38" fontId="63" fillId="0" borderId="0" xfId="0" applyNumberFormat="1" applyFont="1" applyAlignment="1"/>
    <xf numFmtId="38" fontId="63" fillId="0" borderId="0" xfId="0" applyNumberFormat="1" applyFont="1" applyBorder="1" applyAlignment="1"/>
    <xf numFmtId="38" fontId="34" fillId="0" borderId="0" xfId="0" applyNumberFormat="1" applyFont="1" applyAlignment="1"/>
    <xf numFmtId="38" fontId="30" fillId="0" borderId="0" xfId="0" applyNumberFormat="1" applyFont="1" applyAlignment="1">
      <alignment vertical="center" wrapText="1"/>
    </xf>
    <xf numFmtId="38" fontId="10" fillId="0" borderId="22" xfId="0" applyNumberFormat="1" applyFont="1" applyFill="1" applyBorder="1" applyAlignment="1"/>
    <xf numFmtId="38" fontId="10" fillId="0" borderId="17" xfId="0" applyNumberFormat="1" applyFont="1" applyFill="1" applyBorder="1" applyAlignment="1"/>
    <xf numFmtId="0" fontId="17" fillId="0" borderId="0" xfId="2122" applyFont="1"/>
    <xf numFmtId="38" fontId="64" fillId="0" borderId="0" xfId="2123" applyNumberFormat="1" applyFont="1" applyFill="1" applyBorder="1" applyAlignment="1" applyProtection="1">
      <alignment horizontal="left"/>
    </xf>
    <xf numFmtId="0" fontId="10" fillId="0" borderId="0" xfId="2122" applyFont="1" applyAlignment="1">
      <alignment vertical="center"/>
    </xf>
    <xf numFmtId="0" fontId="10" fillId="0" borderId="0" xfId="2122" applyFont="1"/>
    <xf numFmtId="38" fontId="55" fillId="0" borderId="17" xfId="0" applyNumberFormat="1" applyFont="1" applyFill="1" applyBorder="1" applyAlignment="1"/>
    <xf numFmtId="0" fontId="50" fillId="4" borderId="0" xfId="2122" applyFont="1" applyFill="1" applyBorder="1" applyAlignment="1">
      <alignment horizontal="center" vertical="center"/>
    </xf>
    <xf numFmtId="0" fontId="45" fillId="4" borderId="0" xfId="2122" applyFont="1" applyFill="1" applyBorder="1" applyAlignment="1">
      <alignment horizontal="center" vertical="center"/>
    </xf>
    <xf numFmtId="0" fontId="13" fillId="0" borderId="0" xfId="2122" applyFont="1" applyBorder="1" applyAlignment="1">
      <alignment horizontal="right" vertical="center"/>
    </xf>
    <xf numFmtId="0" fontId="13" fillId="0" borderId="0" xfId="2122" applyFont="1" applyBorder="1" applyAlignment="1">
      <alignment vertical="center"/>
    </xf>
    <xf numFmtId="187" fontId="30" fillId="0" borderId="0" xfId="2122" applyNumberFormat="1" applyFont="1" applyBorder="1" applyAlignment="1">
      <alignment vertical="center"/>
    </xf>
    <xf numFmtId="41" fontId="30" fillId="0" borderId="0" xfId="1545" applyFont="1" applyBorder="1" applyAlignment="1">
      <alignment vertical="center"/>
    </xf>
    <xf numFmtId="179" fontId="30" fillId="0" borderId="0" xfId="1545" applyNumberFormat="1" applyFont="1" applyBorder="1" applyAlignment="1">
      <alignment vertical="center"/>
    </xf>
    <xf numFmtId="41" fontId="34" fillId="0" borderId="0" xfId="1545" applyFont="1" applyBorder="1" applyAlignment="1">
      <alignment vertical="center"/>
    </xf>
    <xf numFmtId="0" fontId="5" fillId="4" borderId="0" xfId="2122" applyFont="1" applyFill="1" applyBorder="1" applyAlignment="1">
      <alignment vertical="center"/>
    </xf>
    <xf numFmtId="0" fontId="39" fillId="4" borderId="0" xfId="2122" applyFont="1" applyFill="1" applyBorder="1" applyAlignment="1">
      <alignment vertical="center"/>
    </xf>
    <xf numFmtId="0" fontId="30" fillId="0" borderId="0" xfId="1545" applyNumberFormat="1" applyFont="1" applyBorder="1" applyAlignment="1">
      <alignment vertical="center"/>
    </xf>
    <xf numFmtId="179" fontId="34" fillId="0" borderId="0" xfId="1545" applyNumberFormat="1" applyFont="1" applyBorder="1" applyAlignment="1">
      <alignment vertical="center"/>
    </xf>
    <xf numFmtId="38" fontId="30" fillId="0" borderId="0" xfId="2122" applyNumberFormat="1" applyFont="1" applyBorder="1" applyAlignment="1">
      <alignment vertical="center"/>
    </xf>
    <xf numFmtId="38" fontId="5" fillId="0" borderId="0" xfId="0" applyNumberFormat="1" applyFont="1" applyBorder="1" applyAlignment="1">
      <alignment vertical="center"/>
    </xf>
    <xf numFmtId="38" fontId="55" fillId="4" borderId="17" xfId="0" applyNumberFormat="1" applyFont="1" applyFill="1" applyBorder="1" applyAlignment="1"/>
    <xf numFmtId="38" fontId="55" fillId="4" borderId="0" xfId="0" applyNumberFormat="1" applyFont="1" applyFill="1" applyBorder="1" applyAlignment="1"/>
    <xf numFmtId="0" fontId="66" fillId="4" borderId="0" xfId="2122" applyFont="1" applyFill="1" applyBorder="1" applyAlignment="1">
      <alignment horizontal="left" vertical="center"/>
    </xf>
    <xf numFmtId="38" fontId="39" fillId="4" borderId="0" xfId="0" applyNumberFormat="1" applyFont="1" applyFill="1" applyBorder="1" applyAlignment="1">
      <alignment horizontal="left" vertical="center"/>
    </xf>
    <xf numFmtId="0" fontId="30" fillId="4" borderId="0" xfId="2122" applyFont="1" applyFill="1" applyBorder="1" applyAlignment="1">
      <alignment horizontal="right" vertical="center"/>
    </xf>
    <xf numFmtId="0" fontId="39" fillId="4" borderId="0" xfId="2122" applyFont="1" applyFill="1" applyBorder="1" applyAlignment="1">
      <alignment horizontal="right" vertical="center"/>
    </xf>
    <xf numFmtId="187" fontId="30" fillId="4" borderId="0" xfId="2122" applyNumberFormat="1" applyFont="1" applyFill="1" applyBorder="1" applyAlignment="1">
      <alignment vertical="center"/>
    </xf>
    <xf numFmtId="38" fontId="30" fillId="4" borderId="0" xfId="1632" applyNumberFormat="1" applyFont="1" applyFill="1" applyBorder="1" applyAlignment="1">
      <alignment vertical="center"/>
    </xf>
    <xf numFmtId="0" fontId="57" fillId="4" borderId="0" xfId="2122" applyFont="1" applyFill="1" applyBorder="1" applyAlignment="1">
      <alignment vertical="center"/>
    </xf>
    <xf numFmtId="187" fontId="34" fillId="4" borderId="0" xfId="2122" applyNumberFormat="1" applyFont="1" applyFill="1" applyBorder="1" applyAlignment="1">
      <alignment vertical="center"/>
    </xf>
    <xf numFmtId="38" fontId="34" fillId="4" borderId="0" xfId="1632" applyNumberFormat="1" applyFont="1" applyFill="1" applyBorder="1" applyAlignment="1">
      <alignment vertical="center"/>
    </xf>
    <xf numFmtId="0" fontId="30" fillId="4" borderId="0" xfId="2122" applyFont="1" applyFill="1" applyBorder="1" applyAlignment="1">
      <alignment vertical="center"/>
    </xf>
    <xf numFmtId="38" fontId="30" fillId="4" borderId="0" xfId="2122" applyNumberFormat="1" applyFont="1" applyFill="1" applyBorder="1" applyAlignment="1">
      <alignment vertical="center"/>
    </xf>
    <xf numFmtId="0" fontId="13" fillId="4" borderId="0" xfId="2122" applyFont="1" applyFill="1" applyBorder="1" applyAlignment="1">
      <alignment vertical="center"/>
    </xf>
    <xf numFmtId="38" fontId="13" fillId="4" borderId="0" xfId="2122" applyNumberFormat="1" applyFont="1" applyFill="1" applyBorder="1" applyAlignment="1">
      <alignment vertical="center"/>
    </xf>
    <xf numFmtId="38" fontId="5" fillId="4" borderId="0" xfId="0" applyNumberFormat="1" applyFont="1" applyFill="1" applyBorder="1" applyAlignment="1">
      <alignment vertical="center"/>
    </xf>
    <xf numFmtId="0" fontId="21" fillId="4" borderId="0" xfId="2123" applyNumberFormat="1" applyFont="1" applyFill="1" applyBorder="1" applyAlignment="1" applyProtection="1">
      <alignment horizontal="left" vertical="center"/>
    </xf>
    <xf numFmtId="38" fontId="64" fillId="4" borderId="0" xfId="2123" applyNumberFormat="1" applyFont="1" applyFill="1" applyBorder="1" applyAlignment="1" applyProtection="1">
      <alignment horizontal="left"/>
    </xf>
    <xf numFmtId="0" fontId="10" fillId="4" borderId="0" xfId="2122" applyFont="1" applyFill="1" applyBorder="1" applyAlignment="1">
      <alignment vertical="center"/>
    </xf>
    <xf numFmtId="0" fontId="26" fillId="4" borderId="0" xfId="2122" applyFont="1" applyFill="1" applyBorder="1"/>
    <xf numFmtId="0" fontId="10" fillId="4" borderId="0" xfId="2122" applyFont="1" applyFill="1" applyBorder="1"/>
    <xf numFmtId="0" fontId="34" fillId="4" borderId="0" xfId="2122" applyFont="1" applyFill="1" applyBorder="1" applyAlignment="1">
      <alignment horizontal="left" vertical="center"/>
    </xf>
    <xf numFmtId="41" fontId="30" fillId="4" borderId="0" xfId="1545" applyFont="1" applyFill="1" applyBorder="1" applyAlignment="1">
      <alignment vertical="center"/>
    </xf>
    <xf numFmtId="41" fontId="34" fillId="4" borderId="0" xfId="1545" applyFont="1" applyFill="1" applyBorder="1" applyAlignment="1">
      <alignment vertical="center"/>
    </xf>
    <xf numFmtId="0" fontId="13" fillId="4" borderId="0" xfId="2122" applyFont="1" applyFill="1" applyBorder="1"/>
    <xf numFmtId="0" fontId="67" fillId="0" borderId="22" xfId="2123" applyNumberFormat="1" applyFont="1" applyFill="1" applyBorder="1" applyAlignment="1" applyProtection="1">
      <alignment horizontal="left" vertical="center"/>
    </xf>
    <xf numFmtId="38" fontId="48" fillId="0" borderId="0" xfId="0" applyNumberFormat="1" applyFont="1" applyFill="1" applyBorder="1" applyAlignment="1"/>
    <xf numFmtId="38" fontId="30" fillId="0" borderId="17" xfId="0" applyNumberFormat="1" applyFont="1" applyFill="1" applyBorder="1" applyAlignment="1"/>
    <xf numFmtId="38" fontId="48" fillId="0" borderId="0" xfId="0" applyNumberFormat="1" applyFont="1" applyAlignment="1"/>
    <xf numFmtId="38" fontId="4" fillId="0" borderId="0" xfId="0" applyNumberFormat="1" applyFont="1" applyBorder="1" applyAlignment="1"/>
    <xf numFmtId="38" fontId="41" fillId="4" borderId="0" xfId="0" applyNumberFormat="1" applyFont="1" applyFill="1" applyBorder="1" applyAlignment="1"/>
    <xf numFmtId="38" fontId="69" fillId="0" borderId="0" xfId="0" applyNumberFormat="1" applyFont="1" applyBorder="1" applyAlignment="1"/>
    <xf numFmtId="38" fontId="48" fillId="0" borderId="0" xfId="0" applyNumberFormat="1" applyFont="1" applyBorder="1" applyAlignment="1"/>
    <xf numFmtId="38" fontId="47" fillId="4" borderId="0" xfId="0" applyNumberFormat="1" applyFont="1" applyFill="1" applyBorder="1" applyAlignment="1">
      <alignment horizontal="center"/>
    </xf>
    <xf numFmtId="38" fontId="48" fillId="4" borderId="0" xfId="0" applyNumberFormat="1" applyFont="1" applyFill="1" applyBorder="1" applyAlignment="1">
      <alignment horizontal="left" indent="1"/>
    </xf>
    <xf numFmtId="38" fontId="48" fillId="4" borderId="0" xfId="0" applyNumberFormat="1" applyFont="1" applyFill="1" applyBorder="1" applyAlignment="1"/>
    <xf numFmtId="182" fontId="48" fillId="4" borderId="0" xfId="0" applyNumberFormat="1" applyFont="1" applyFill="1" applyBorder="1" applyAlignment="1"/>
    <xf numFmtId="189" fontId="30" fillId="0" borderId="0" xfId="0" applyNumberFormat="1" applyFont="1" applyAlignment="1"/>
    <xf numFmtId="38" fontId="39" fillId="0" borderId="0" xfId="0" applyNumberFormat="1" applyFont="1" applyBorder="1" applyAlignment="1">
      <alignment horizontal="left" vertical="center"/>
    </xf>
    <xf numFmtId="38" fontId="49" fillId="0" borderId="17" xfId="0" applyNumberFormat="1" applyFont="1" applyBorder="1" applyAlignment="1">
      <alignment horizontal="left" vertical="center"/>
    </xf>
    <xf numFmtId="38" fontId="49" fillId="0" borderId="0" xfId="0" applyNumberFormat="1" applyFont="1" applyAlignment="1">
      <alignment horizontal="left" vertical="center"/>
    </xf>
    <xf numFmtId="38" fontId="70" fillId="0" borderId="0" xfId="0" applyNumberFormat="1" applyFont="1" applyAlignment="1">
      <alignment horizontal="left" vertical="center"/>
    </xf>
    <xf numFmtId="38" fontId="47" fillId="0" borderId="0" xfId="0" applyNumberFormat="1" applyFont="1" applyAlignment="1"/>
    <xf numFmtId="0" fontId="71" fillId="0" borderId="22" xfId="0" applyNumberFormat="1" applyFont="1" applyFill="1" applyBorder="1" applyAlignment="1">
      <alignment horizontal="center" vertical="center"/>
    </xf>
    <xf numFmtId="0" fontId="47" fillId="0" borderId="22" xfId="0" applyNumberFormat="1" applyFont="1" applyFill="1" applyBorder="1" applyAlignment="1">
      <alignment horizontal="center" vertical="center"/>
    </xf>
    <xf numFmtId="38" fontId="48" fillId="0" borderId="22" xfId="0" applyNumberFormat="1" applyFont="1" applyFill="1" applyBorder="1" applyAlignment="1"/>
    <xf numFmtId="38" fontId="30" fillId="4" borderId="17" xfId="0" applyNumberFormat="1" applyFont="1" applyFill="1" applyBorder="1" applyAlignment="1">
      <alignment horizontal="right"/>
    </xf>
    <xf numFmtId="38" fontId="29" fillId="0" borderId="17" xfId="0" applyNumberFormat="1" applyFont="1" applyFill="1" applyBorder="1" applyAlignment="1">
      <alignment horizontal="right"/>
    </xf>
    <xf numFmtId="38" fontId="72" fillId="4" borderId="0" xfId="0" applyNumberFormat="1" applyFont="1" applyFill="1" applyBorder="1" applyAlignment="1"/>
    <xf numFmtId="38" fontId="69" fillId="4" borderId="0" xfId="0" applyNumberFormat="1" applyFont="1" applyFill="1" applyBorder="1" applyAlignment="1"/>
    <xf numFmtId="38" fontId="72" fillId="0" borderId="0" xfId="0" applyNumberFormat="1" applyFont="1" applyBorder="1" applyAlignment="1"/>
    <xf numFmtId="182" fontId="30" fillId="4" borderId="17" xfId="1406" applyNumberFormat="1" applyFont="1" applyFill="1" applyBorder="1" applyAlignment="1"/>
    <xf numFmtId="189" fontId="48" fillId="4" borderId="0" xfId="1406" applyNumberFormat="1" applyFont="1" applyFill="1" applyAlignment="1"/>
    <xf numFmtId="38" fontId="73" fillId="0" borderId="0" xfId="0" applyNumberFormat="1" applyFont="1" applyAlignment="1"/>
    <xf numFmtId="182" fontId="34" fillId="4" borderId="17" xfId="1406" applyNumberFormat="1" applyFont="1" applyFill="1" applyBorder="1" applyAlignment="1"/>
    <xf numFmtId="182" fontId="30" fillId="4" borderId="8" xfId="1406" applyNumberFormat="1" applyFont="1" applyFill="1" applyBorder="1" applyAlignment="1"/>
    <xf numFmtId="38" fontId="30" fillId="4" borderId="0" xfId="0" applyNumberFormat="1" applyFont="1" applyFill="1" applyBorder="1" applyAlignment="1">
      <alignment horizontal="left" indent="1"/>
    </xf>
    <xf numFmtId="38" fontId="29" fillId="0" borderId="0" xfId="0" applyNumberFormat="1" applyFont="1" applyBorder="1" applyAlignment="1"/>
    <xf numFmtId="38" fontId="30" fillId="4" borderId="0" xfId="0" applyNumberFormat="1" applyFont="1" applyFill="1" applyAlignment="1">
      <alignment horizontal="right"/>
    </xf>
    <xf numFmtId="182" fontId="30" fillId="4" borderId="0" xfId="0" applyNumberFormat="1" applyFont="1" applyFill="1" applyBorder="1" applyAlignment="1"/>
    <xf numFmtId="38" fontId="30" fillId="4" borderId="0" xfId="0" applyNumberFormat="1" applyFont="1" applyFill="1" applyAlignment="1"/>
    <xf numFmtId="0" fontId="21" fillId="0" borderId="0" xfId="2123" applyNumberFormat="1" applyFont="1" applyFill="1" applyAlignment="1" applyProtection="1">
      <alignment vertical="center"/>
    </xf>
    <xf numFmtId="38" fontId="2" fillId="0" borderId="17" xfId="0" applyNumberFormat="1" applyFont="1" applyFill="1" applyBorder="1" applyAlignment="1"/>
    <xf numFmtId="38" fontId="47" fillId="4" borderId="23" xfId="0" applyNumberFormat="1" applyFont="1" applyFill="1" applyBorder="1" applyAlignment="1">
      <alignment vertical="center"/>
    </xf>
    <xf numFmtId="38" fontId="53" fillId="4" borderId="0" xfId="0" applyNumberFormat="1" applyFont="1" applyFill="1" applyBorder="1" applyAlignment="1"/>
    <xf numFmtId="38" fontId="30" fillId="4" borderId="0" xfId="0" applyNumberFormat="1" applyFont="1" applyFill="1" applyBorder="1" applyAlignment="1">
      <alignment vertical="center"/>
    </xf>
    <xf numFmtId="41" fontId="30" fillId="4" borderId="0" xfId="1545" applyFont="1" applyFill="1" applyBorder="1" applyAlignment="1">
      <alignment horizontal="right" vertical="center"/>
    </xf>
    <xf numFmtId="38" fontId="2" fillId="4" borderId="0" xfId="0" applyNumberFormat="1" applyFont="1" applyFill="1" applyBorder="1" applyAlignment="1"/>
    <xf numFmtId="38" fontId="63" fillId="0" borderId="0" xfId="0" applyNumberFormat="1" applyFont="1" applyAlignment="1">
      <alignment horizontal="right"/>
    </xf>
    <xf numFmtId="38" fontId="48" fillId="0" borderId="0" xfId="0" applyNumberFormat="1" applyFont="1" applyAlignment="1">
      <alignment horizontal="right"/>
    </xf>
    <xf numFmtId="38" fontId="30" fillId="0" borderId="0" xfId="0" applyNumberFormat="1" applyFont="1" applyAlignment="1">
      <alignment horizontal="right"/>
    </xf>
    <xf numFmtId="190" fontId="30" fillId="0" borderId="18" xfId="1631" applyNumberFormat="1" applyFont="1" applyBorder="1" applyAlignment="1">
      <alignment horizontal="right" vertical="center"/>
    </xf>
    <xf numFmtId="191" fontId="34" fillId="0" borderId="24" xfId="1631" applyNumberFormat="1" applyFont="1" applyBorder="1" applyAlignment="1">
      <alignment horizontal="right" vertical="center"/>
    </xf>
    <xf numFmtId="190" fontId="30" fillId="0" borderId="25" xfId="1631" applyNumberFormat="1" applyFont="1" applyBorder="1" applyAlignment="1">
      <alignment horizontal="right" vertical="center"/>
    </xf>
    <xf numFmtId="190" fontId="30" fillId="0" borderId="21" xfId="1631" applyNumberFormat="1" applyFont="1" applyBorder="1" applyAlignment="1">
      <alignment horizontal="right" vertical="center"/>
    </xf>
    <xf numFmtId="190" fontId="30" fillId="0" borderId="26" xfId="1631" applyNumberFormat="1" applyFont="1" applyBorder="1" applyAlignment="1">
      <alignment horizontal="right" vertical="center"/>
    </xf>
    <xf numFmtId="190" fontId="30" fillId="0" borderId="21" xfId="1631" applyNumberFormat="1" applyFont="1" applyFill="1" applyBorder="1" applyAlignment="1">
      <alignment horizontal="right" vertical="center"/>
    </xf>
    <xf numFmtId="190" fontId="30" fillId="0" borderId="26" xfId="1631" applyNumberFormat="1" applyFont="1" applyFill="1" applyBorder="1" applyAlignment="1">
      <alignment horizontal="right" vertical="center"/>
    </xf>
    <xf numFmtId="190" fontId="30" fillId="0" borderId="23" xfId="1631" applyNumberFormat="1" applyFont="1" applyBorder="1" applyAlignment="1">
      <alignment horizontal="right" vertical="center"/>
    </xf>
    <xf numFmtId="190" fontId="30" fillId="0" borderId="27" xfId="1631" applyNumberFormat="1" applyFont="1" applyBorder="1" applyAlignment="1">
      <alignment horizontal="right" vertical="center"/>
    </xf>
    <xf numFmtId="191" fontId="34" fillId="0" borderId="28" xfId="2122" applyNumberFormat="1" applyFont="1" applyBorder="1" applyAlignment="1">
      <alignment horizontal="right" vertical="center"/>
    </xf>
    <xf numFmtId="190" fontId="30" fillId="0" borderId="21" xfId="2122" applyNumberFormat="1" applyFont="1" applyFill="1" applyBorder="1" applyAlignment="1">
      <alignment horizontal="right" vertical="center"/>
    </xf>
    <xf numFmtId="191" fontId="34" fillId="0" borderId="29" xfId="2122" applyNumberFormat="1" applyFont="1" applyFill="1" applyBorder="1" applyAlignment="1">
      <alignment horizontal="right" vertical="center"/>
    </xf>
    <xf numFmtId="190" fontId="30" fillId="0" borderId="26" xfId="2122" applyNumberFormat="1" applyFont="1" applyFill="1" applyBorder="1" applyAlignment="1">
      <alignment horizontal="right" vertical="center"/>
    </xf>
    <xf numFmtId="190" fontId="30" fillId="0" borderId="21" xfId="1545" applyNumberFormat="1" applyFont="1" applyFill="1" applyBorder="1" applyAlignment="1">
      <alignment horizontal="right" vertical="center"/>
    </xf>
    <xf numFmtId="191" fontId="34" fillId="0" borderId="29" xfId="1631" applyNumberFormat="1" applyFont="1" applyFill="1" applyBorder="1" applyAlignment="1">
      <alignment horizontal="right" vertical="center"/>
    </xf>
    <xf numFmtId="190" fontId="30" fillId="0" borderId="26" xfId="1545" applyNumberFormat="1" applyFont="1" applyFill="1" applyBorder="1" applyAlignment="1">
      <alignment horizontal="right" vertical="center"/>
    </xf>
    <xf numFmtId="190" fontId="30" fillId="0" borderId="30" xfId="1545" applyNumberFormat="1" applyFont="1" applyBorder="1" applyAlignment="1">
      <alignment horizontal="right" vertical="center"/>
    </xf>
    <xf numFmtId="191" fontId="34" fillId="0" borderId="31" xfId="1545" applyNumberFormat="1" applyFont="1" applyBorder="1" applyAlignment="1">
      <alignment horizontal="right" vertical="center"/>
    </xf>
    <xf numFmtId="190" fontId="30" fillId="0" borderId="32" xfId="1545" applyNumberFormat="1" applyFont="1" applyBorder="1" applyAlignment="1">
      <alignment horizontal="right" vertical="center"/>
    </xf>
    <xf numFmtId="41" fontId="34" fillId="0" borderId="0" xfId="1545" applyFont="1" applyFill="1" applyBorder="1" applyAlignment="1">
      <alignment vertical="center"/>
    </xf>
    <xf numFmtId="0" fontId="13" fillId="0" borderId="0" xfId="2122" applyFont="1" applyFill="1" applyBorder="1" applyAlignment="1">
      <alignment vertical="center"/>
    </xf>
    <xf numFmtId="43" fontId="30" fillId="0" borderId="0" xfId="2122" applyNumberFormat="1" applyFont="1" applyFill="1" applyBorder="1" applyAlignment="1">
      <alignment vertical="center"/>
    </xf>
    <xf numFmtId="38" fontId="74" fillId="0" borderId="22" xfId="0" applyNumberFormat="1" applyFont="1" applyFill="1" applyBorder="1" applyAlignment="1"/>
    <xf numFmtId="38" fontId="74" fillId="0" borderId="0" xfId="0" applyNumberFormat="1" applyFont="1" applyFill="1" applyBorder="1" applyAlignment="1"/>
    <xf numFmtId="38" fontId="10" fillId="0" borderId="33" xfId="0" applyNumberFormat="1" applyFont="1" applyFill="1" applyBorder="1" applyAlignment="1"/>
    <xf numFmtId="0" fontId="34" fillId="0" borderId="0" xfId="2122" applyFont="1" applyBorder="1" applyAlignment="1">
      <alignment horizontal="left" vertical="center"/>
    </xf>
    <xf numFmtId="38" fontId="75" fillId="0" borderId="0" xfId="0" applyNumberFormat="1" applyFont="1" applyFill="1" applyBorder="1" applyAlignment="1">
      <alignment vertical="top"/>
    </xf>
    <xf numFmtId="0" fontId="30" fillId="0" borderId="0" xfId="2122" applyFont="1" applyFill="1" applyBorder="1" applyAlignment="1">
      <alignment vertical="center"/>
    </xf>
    <xf numFmtId="38" fontId="55" fillId="0" borderId="0" xfId="2122" applyNumberFormat="1" applyFont="1" applyFill="1" applyBorder="1" applyAlignment="1">
      <alignment vertical="center"/>
    </xf>
    <xf numFmtId="0" fontId="55" fillId="0" borderId="0" xfId="2122" applyFont="1" applyFill="1" applyBorder="1" applyAlignment="1">
      <alignment vertical="center"/>
    </xf>
    <xf numFmtId="38" fontId="55" fillId="0" borderId="0" xfId="1632" applyNumberFormat="1" applyFont="1" applyFill="1" applyBorder="1" applyAlignment="1">
      <alignment vertical="center"/>
    </xf>
    <xf numFmtId="38" fontId="54" fillId="0" borderId="0" xfId="1632" applyNumberFormat="1" applyFont="1" applyFill="1" applyBorder="1" applyAlignment="1">
      <alignment vertical="center"/>
    </xf>
    <xf numFmtId="0" fontId="55" fillId="0" borderId="0" xfId="2122" applyFont="1" applyBorder="1" applyAlignment="1">
      <alignment vertical="center"/>
    </xf>
    <xf numFmtId="38" fontId="76" fillId="0" borderId="0" xfId="2122" applyNumberFormat="1" applyFont="1" applyBorder="1" applyAlignment="1">
      <alignment vertical="center"/>
    </xf>
    <xf numFmtId="0" fontId="76" fillId="0" borderId="0" xfId="2122" applyFont="1" applyBorder="1" applyAlignment="1">
      <alignment vertical="center"/>
    </xf>
    <xf numFmtId="38" fontId="76" fillId="0" borderId="0" xfId="2122" applyNumberFormat="1" applyFont="1" applyFill="1" applyBorder="1" applyAlignment="1">
      <alignment vertical="center"/>
    </xf>
    <xf numFmtId="0" fontId="76" fillId="0" borderId="0" xfId="2122" applyFont="1" applyFill="1" applyBorder="1" applyAlignment="1">
      <alignment vertical="center"/>
    </xf>
    <xf numFmtId="0" fontId="40" fillId="0" borderId="0" xfId="2122" applyFont="1"/>
    <xf numFmtId="38" fontId="76" fillId="0" borderId="0" xfId="0" applyNumberFormat="1" applyFont="1" applyFill="1" applyBorder="1" applyAlignment="1"/>
    <xf numFmtId="184" fontId="30" fillId="0" borderId="0" xfId="2122" applyNumberFormat="1" applyFont="1" applyBorder="1" applyAlignment="1">
      <alignment vertical="center"/>
    </xf>
    <xf numFmtId="184" fontId="30" fillId="0" borderId="0" xfId="2122" applyNumberFormat="1" applyFont="1" applyFill="1" applyBorder="1" applyAlignment="1">
      <alignment vertical="center"/>
    </xf>
    <xf numFmtId="184" fontId="30" fillId="0" borderId="0" xfId="2122" applyNumberFormat="1" applyFont="1" applyAlignment="1">
      <alignment vertical="center"/>
    </xf>
    <xf numFmtId="184" fontId="10" fillId="0" borderId="0" xfId="0" applyNumberFormat="1" applyFont="1" applyFill="1" applyBorder="1" applyAlignment="1"/>
    <xf numFmtId="184" fontId="10" fillId="0" borderId="0" xfId="2122" applyNumberFormat="1" applyFont="1" applyAlignment="1">
      <alignment vertical="center"/>
    </xf>
    <xf numFmtId="184" fontId="13" fillId="0" borderId="0" xfId="2122" applyNumberFormat="1" applyFont="1" applyBorder="1" applyAlignment="1">
      <alignment horizontal="right" vertical="center"/>
    </xf>
    <xf numFmtId="0" fontId="28" fillId="10" borderId="0" xfId="2122" applyFont="1" applyFill="1" applyBorder="1" applyAlignment="1">
      <alignment horizontal="right" vertical="center"/>
    </xf>
    <xf numFmtId="0" fontId="28" fillId="10" borderId="0" xfId="2122" applyFont="1" applyFill="1" applyBorder="1" applyAlignment="1">
      <alignment vertical="center"/>
    </xf>
    <xf numFmtId="187" fontId="13" fillId="0" borderId="0" xfId="2122" applyNumberFormat="1" applyFont="1" applyBorder="1" applyAlignment="1">
      <alignment vertical="center"/>
    </xf>
    <xf numFmtId="9" fontId="10" fillId="0" borderId="0" xfId="1422" applyFont="1" applyFill="1" applyBorder="1"/>
    <xf numFmtId="187" fontId="8" fillId="0" borderId="0" xfId="2122" applyNumberFormat="1" applyFont="1" applyBorder="1" applyAlignment="1">
      <alignment vertical="center"/>
    </xf>
    <xf numFmtId="183" fontId="77" fillId="0" borderId="0" xfId="1553" applyNumberFormat="1" applyFont="1" applyBorder="1" applyAlignment="1">
      <alignment vertical="center"/>
    </xf>
    <xf numFmtId="0" fontId="6" fillId="4" borderId="0" xfId="2122" applyFont="1" applyFill="1" applyBorder="1" applyAlignment="1">
      <alignment vertical="center"/>
    </xf>
    <xf numFmtId="0" fontId="10" fillId="0" borderId="0" xfId="2122" applyFont="1" applyBorder="1" applyAlignment="1">
      <alignment vertical="center"/>
    </xf>
    <xf numFmtId="38" fontId="13" fillId="0" borderId="17" xfId="0" applyNumberFormat="1" applyFont="1" applyFill="1" applyBorder="1" applyAlignment="1"/>
    <xf numFmtId="38" fontId="13" fillId="0" borderId="0" xfId="0" applyNumberFormat="1" applyFont="1" applyFill="1" applyBorder="1" applyAlignment="1">
      <alignment horizontal="right" vertical="center"/>
    </xf>
    <xf numFmtId="0" fontId="28" fillId="4" borderId="0" xfId="2122" applyFont="1" applyFill="1" applyBorder="1" applyAlignment="1">
      <alignment horizontal="center" vertical="center"/>
    </xf>
    <xf numFmtId="187" fontId="78" fillId="0" borderId="0" xfId="2122" applyNumberFormat="1" applyFont="1" applyBorder="1" applyAlignment="1">
      <alignment vertical="center"/>
    </xf>
    <xf numFmtId="38" fontId="8" fillId="0" borderId="17" xfId="0" applyNumberFormat="1" applyFont="1" applyFill="1" applyBorder="1" applyAlignment="1"/>
    <xf numFmtId="38" fontId="8" fillId="0" borderId="0" xfId="0" applyNumberFormat="1" applyFont="1" applyFill="1" applyBorder="1" applyAlignment="1"/>
    <xf numFmtId="187" fontId="77" fillId="0" borderId="0" xfId="2122" applyNumberFormat="1" applyFont="1" applyBorder="1" applyAlignment="1">
      <alignment vertical="center"/>
    </xf>
    <xf numFmtId="192" fontId="8" fillId="0" borderId="36" xfId="1545" applyNumberFormat="1" applyFont="1" applyBorder="1" applyAlignment="1">
      <alignment vertical="center"/>
    </xf>
    <xf numFmtId="41" fontId="78" fillId="0" borderId="0" xfId="1545" applyFont="1" applyBorder="1" applyAlignment="1">
      <alignment vertical="center"/>
    </xf>
    <xf numFmtId="41" fontId="78" fillId="0" borderId="18" xfId="1545" applyFont="1" applyBorder="1" applyAlignment="1">
      <alignment vertical="center"/>
    </xf>
    <xf numFmtId="38" fontId="30" fillId="0" borderId="0" xfId="0" applyNumberFormat="1" applyFont="1" applyBorder="1" applyAlignment="1">
      <alignment vertical="center"/>
    </xf>
    <xf numFmtId="187" fontId="73" fillId="0" borderId="0" xfId="2122" applyNumberFormat="1" applyFont="1" applyBorder="1" applyAlignment="1">
      <alignment vertical="center"/>
    </xf>
    <xf numFmtId="38" fontId="73" fillId="0" borderId="0" xfId="2122" applyNumberFormat="1" applyFont="1" applyBorder="1" applyAlignment="1">
      <alignment vertical="center"/>
    </xf>
    <xf numFmtId="38" fontId="39" fillId="0" borderId="0" xfId="0" applyNumberFormat="1" applyFont="1" applyBorder="1" applyAlignment="1">
      <alignment vertical="center"/>
    </xf>
    <xf numFmtId="38" fontId="13" fillId="4" borderId="0" xfId="0" applyNumberFormat="1" applyFont="1" applyFill="1" applyBorder="1" applyAlignment="1"/>
    <xf numFmtId="187" fontId="13" fillId="4" borderId="0" xfId="2122" applyNumberFormat="1" applyFont="1" applyFill="1" applyBorder="1" applyAlignment="1">
      <alignment vertical="center"/>
    </xf>
    <xf numFmtId="38" fontId="29" fillId="10" borderId="0" xfId="0" applyNumberFormat="1" applyFont="1" applyFill="1" applyBorder="1" applyAlignment="1">
      <alignment vertical="center"/>
    </xf>
    <xf numFmtId="182" fontId="34" fillId="0" borderId="37" xfId="1422" applyNumberFormat="1" applyFont="1" applyFill="1" applyBorder="1" applyAlignment="1">
      <alignment horizontal="center" vertical="center"/>
    </xf>
    <xf numFmtId="182" fontId="34" fillId="0" borderId="21" xfId="1422" applyNumberFormat="1" applyFont="1" applyFill="1" applyBorder="1" applyAlignment="1">
      <alignment horizontal="center" vertical="center"/>
    </xf>
    <xf numFmtId="182" fontId="34" fillId="0" borderId="23" xfId="1422" applyNumberFormat="1" applyFont="1" applyBorder="1" applyAlignment="1">
      <alignment horizontal="center" vertical="center"/>
    </xf>
    <xf numFmtId="38" fontId="34" fillId="0" borderId="0" xfId="2122" applyNumberFormat="1" applyFont="1" applyBorder="1" applyAlignment="1">
      <alignment vertical="center"/>
    </xf>
    <xf numFmtId="0" fontId="21" fillId="0" borderId="22" xfId="2123" applyNumberFormat="1" applyFont="1" applyFill="1" applyBorder="1" applyAlignment="1" applyProtection="1">
      <alignment vertical="center"/>
    </xf>
    <xf numFmtId="38" fontId="30" fillId="0" borderId="17" xfId="0" applyNumberFormat="1" applyFont="1" applyFill="1" applyBorder="1" applyAlignment="1">
      <alignment horizontal="left"/>
    </xf>
    <xf numFmtId="38" fontId="30" fillId="0" borderId="0" xfId="0" applyNumberFormat="1" applyFont="1" applyFill="1" applyBorder="1" applyAlignment="1">
      <alignment horizontal="left"/>
    </xf>
    <xf numFmtId="182" fontId="30" fillId="0" borderId="0" xfId="1422" applyNumberFormat="1" applyFont="1" applyFill="1" applyBorder="1" applyAlignment="1">
      <alignment horizontal="left"/>
    </xf>
    <xf numFmtId="193" fontId="30" fillId="0" borderId="0" xfId="0" applyNumberFormat="1" applyFont="1" applyFill="1" applyBorder="1" applyAlignment="1"/>
    <xf numFmtId="38" fontId="79" fillId="0" borderId="0" xfId="0" applyNumberFormat="1" applyFont="1" applyFill="1" applyBorder="1" applyAlignment="1"/>
    <xf numFmtId="38" fontId="13" fillId="0" borderId="0" xfId="0" applyNumberFormat="1" applyFont="1" applyBorder="1" applyAlignment="1">
      <alignment horizontal="right"/>
    </xf>
    <xf numFmtId="38" fontId="30" fillId="0" borderId="0" xfId="0" applyNumberFormat="1" applyFont="1" applyAlignment="1">
      <alignment horizontal="left" vertical="center"/>
    </xf>
    <xf numFmtId="0" fontId="19" fillId="0" borderId="38" xfId="2123" applyNumberFormat="1" applyFont="1" applyFill="1" applyBorder="1" applyAlignment="1" applyProtection="1">
      <alignment vertical="center"/>
    </xf>
    <xf numFmtId="0" fontId="19" fillId="0" borderId="39" xfId="2123" applyNumberFormat="1" applyFont="1" applyFill="1" applyBorder="1" applyAlignment="1" applyProtection="1">
      <alignment vertical="center"/>
    </xf>
    <xf numFmtId="0" fontId="9" fillId="0" borderId="0" xfId="2119" applyFont="1" applyBorder="1"/>
    <xf numFmtId="0" fontId="9" fillId="0" borderId="17" xfId="2119" applyFont="1" applyFill="1" applyBorder="1"/>
    <xf numFmtId="0" fontId="9" fillId="0" borderId="0" xfId="2119" applyFont="1" applyFill="1" applyBorder="1"/>
    <xf numFmtId="0" fontId="19" fillId="0" borderId="0" xfId="2123" applyNumberFormat="1" applyFont="1" applyFill="1" applyAlignment="1" applyProtection="1">
      <alignment horizontal="left" vertical="center"/>
    </xf>
    <xf numFmtId="0" fontId="9" fillId="4" borderId="17" xfId="2119" applyFont="1" applyFill="1" applyBorder="1"/>
    <xf numFmtId="0" fontId="21" fillId="0" borderId="0" xfId="2123" applyNumberFormat="1" applyFont="1" applyFill="1" applyAlignment="1" applyProtection="1">
      <alignment horizontal="left" vertical="center"/>
    </xf>
    <xf numFmtId="0" fontId="9" fillId="0" borderId="17" xfId="2119" applyFont="1" applyBorder="1"/>
    <xf numFmtId="0" fontId="80" fillId="0" borderId="0" xfId="2119" applyFont="1" applyBorder="1" applyAlignment="1">
      <alignment horizontal="left" indent="1"/>
    </xf>
    <xf numFmtId="0" fontId="43" fillId="0" borderId="0" xfId="2120" applyFont="1" applyFill="1" applyBorder="1" applyAlignment="1">
      <alignment vertical="center"/>
    </xf>
    <xf numFmtId="0" fontId="20" fillId="0" borderId="17" xfId="2120" applyFont="1" applyBorder="1" applyAlignment="1">
      <alignment vertical="center" wrapText="1"/>
    </xf>
    <xf numFmtId="0" fontId="20" fillId="0" borderId="0" xfId="2120" applyFont="1" applyBorder="1" applyAlignment="1">
      <alignment vertical="center" wrapText="1"/>
    </xf>
    <xf numFmtId="0" fontId="81" fillId="0" borderId="0" xfId="2120" applyFont="1" applyFill="1" applyBorder="1" applyAlignment="1">
      <alignment vertical="center"/>
    </xf>
    <xf numFmtId="0" fontId="82" fillId="0" borderId="17" xfId="2119" applyFont="1" applyBorder="1" applyAlignment="1">
      <alignment vertical="center"/>
    </xf>
    <xf numFmtId="0" fontId="82" fillId="0" borderId="0" xfId="2119" applyFont="1" applyBorder="1" applyAlignment="1">
      <alignment vertical="center"/>
    </xf>
    <xf numFmtId="38" fontId="8" fillId="0" borderId="21" xfId="1633" applyNumberFormat="1" applyFont="1" applyFill="1" applyBorder="1" applyAlignment="1">
      <alignment vertical="center"/>
    </xf>
    <xf numFmtId="38" fontId="13" fillId="0" borderId="21" xfId="1633" applyNumberFormat="1" applyFont="1" applyFill="1" applyBorder="1" applyAlignment="1">
      <alignment vertical="center"/>
    </xf>
    <xf numFmtId="0" fontId="83" fillId="0" borderId="17" xfId="2119" applyFont="1" applyBorder="1" applyAlignment="1">
      <alignment vertical="center"/>
    </xf>
    <xf numFmtId="0" fontId="83" fillId="0" borderId="0" xfId="2119" applyFont="1" applyBorder="1" applyAlignment="1">
      <alignment vertical="center"/>
    </xf>
    <xf numFmtId="38" fontId="78" fillId="0" borderId="0" xfId="1633" applyNumberFormat="1" applyFont="1" applyFill="1" applyBorder="1" applyAlignment="1">
      <alignment vertical="center"/>
    </xf>
    <xf numFmtId="0" fontId="84" fillId="0" borderId="0" xfId="2119" applyFont="1" applyBorder="1" applyAlignment="1">
      <alignment vertical="center"/>
    </xf>
    <xf numFmtId="0" fontId="13" fillId="0" borderId="17" xfId="2119" applyFont="1" applyBorder="1"/>
    <xf numFmtId="0" fontId="13" fillId="0" borderId="0" xfId="2119" applyFont="1" applyBorder="1"/>
    <xf numFmtId="0" fontId="23" fillId="0" borderId="0" xfId="2119" applyFont="1" applyBorder="1" applyAlignment="1">
      <alignment horizontal="left" indent="1"/>
    </xf>
    <xf numFmtId="0" fontId="58" fillId="0" borderId="0" xfId="2119" applyFont="1" applyBorder="1" applyAlignment="1">
      <alignment horizontal="left" indent="1"/>
    </xf>
    <xf numFmtId="41" fontId="58" fillId="0" borderId="0" xfId="1633" applyFont="1" applyFill="1" applyBorder="1" applyAlignment="1">
      <alignment horizontal="left" vertical="center" indent="1"/>
    </xf>
    <xf numFmtId="38" fontId="13" fillId="0" borderId="0" xfId="0" applyNumberFormat="1" applyFont="1" applyAlignment="1">
      <alignment horizontal="left" vertical="center"/>
    </xf>
    <xf numFmtId="38" fontId="13" fillId="0" borderId="0" xfId="2119" applyNumberFormat="1" applyFont="1" applyBorder="1" applyAlignment="1">
      <alignment horizontal="left" indent="1"/>
    </xf>
    <xf numFmtId="194" fontId="13" fillId="0" borderId="0" xfId="2119" applyNumberFormat="1" applyFont="1" applyBorder="1" applyAlignment="1">
      <alignment horizontal="left" indent="1"/>
    </xf>
    <xf numFmtId="182" fontId="80" fillId="0" borderId="0" xfId="1422" applyNumberFormat="1" applyFont="1" applyBorder="1" applyAlignment="1">
      <alignment horizontal="left" indent="1"/>
    </xf>
    <xf numFmtId="0" fontId="20" fillId="10" borderId="40" xfId="2120" applyFont="1" applyFill="1" applyBorder="1" applyAlignment="1">
      <alignment horizontal="right" vertical="center"/>
    </xf>
    <xf numFmtId="37" fontId="13" fillId="0" borderId="21" xfId="1633" applyNumberFormat="1" applyFont="1" applyFill="1" applyBorder="1" applyAlignment="1">
      <alignment vertical="center"/>
    </xf>
    <xf numFmtId="38" fontId="8" fillId="0" borderId="0" xfId="1633" applyNumberFormat="1" applyFont="1" applyFill="1" applyBorder="1" applyAlignment="1">
      <alignment vertical="center"/>
    </xf>
    <xf numFmtId="0" fontId="83" fillId="0" borderId="17" xfId="2119" applyFont="1" applyBorder="1"/>
    <xf numFmtId="0" fontId="83" fillId="0" borderId="0" xfId="2119" applyFont="1" applyBorder="1"/>
    <xf numFmtId="0" fontId="82" fillId="0" borderId="17" xfId="2119" applyFont="1" applyBorder="1"/>
    <xf numFmtId="0" fontId="82" fillId="0" borderId="0" xfId="2119" applyFont="1" applyBorder="1"/>
    <xf numFmtId="38" fontId="33" fillId="0" borderId="22" xfId="0" applyNumberFormat="1" applyFont="1" applyBorder="1" applyAlignment="1"/>
    <xf numFmtId="38" fontId="33" fillId="0" borderId="0" xfId="0" applyNumberFormat="1" applyFont="1" applyBorder="1" applyAlignment="1"/>
    <xf numFmtId="38" fontId="33" fillId="0" borderId="0" xfId="0" applyNumberFormat="1" applyFont="1" applyAlignment="1"/>
    <xf numFmtId="38" fontId="33" fillId="0" borderId="17" xfId="0" applyNumberFormat="1" applyFont="1" applyBorder="1" applyAlignment="1"/>
    <xf numFmtId="38" fontId="28" fillId="10" borderId="18" xfId="0" applyNumberFormat="1" applyFont="1" applyFill="1" applyBorder="1" applyAlignment="1">
      <alignment horizontal="right"/>
    </xf>
    <xf numFmtId="0" fontId="21" fillId="4" borderId="22" xfId="2123" applyNumberFormat="1" applyFont="1" applyFill="1" applyBorder="1" applyAlignment="1" applyProtection="1">
      <alignment horizontal="left" vertical="center"/>
    </xf>
    <xf numFmtId="38" fontId="13" fillId="0" borderId="17" xfId="0" applyNumberFormat="1" applyFont="1" applyBorder="1" applyAlignment="1"/>
    <xf numFmtId="38" fontId="13" fillId="0" borderId="0" xfId="0" applyNumberFormat="1" applyFont="1" applyBorder="1" applyAlignment="1"/>
    <xf numFmtId="38" fontId="8" fillId="4" borderId="21" xfId="0" applyNumberFormat="1" applyFont="1" applyFill="1" applyBorder="1" applyAlignment="1"/>
    <xf numFmtId="38" fontId="8" fillId="4" borderId="41" xfId="0" applyNumberFormat="1" applyFont="1" applyFill="1" applyBorder="1" applyAlignment="1"/>
    <xf numFmtId="38" fontId="13" fillId="4" borderId="21" xfId="0" applyNumberFormat="1" applyFont="1" applyFill="1" applyBorder="1" applyAlignment="1"/>
    <xf numFmtId="38" fontId="13" fillId="4" borderId="41" xfId="0" applyNumberFormat="1" applyFont="1" applyFill="1" applyBorder="1" applyAlignment="1"/>
    <xf numFmtId="38" fontId="13" fillId="4" borderId="23" xfId="0" applyNumberFormat="1" applyFont="1" applyFill="1" applyBorder="1" applyAlignment="1"/>
    <xf numFmtId="38" fontId="13" fillId="4" borderId="42" xfId="0" applyNumberFormat="1" applyFont="1" applyFill="1" applyBorder="1" applyAlignment="1"/>
    <xf numFmtId="40" fontId="13" fillId="0" borderId="0" xfId="0" applyNumberFormat="1" applyFont="1" applyBorder="1" applyAlignment="1"/>
    <xf numFmtId="38" fontId="13" fillId="0" borderId="50" xfId="0" applyNumberFormat="1" applyFont="1" applyBorder="1" applyAlignment="1"/>
    <xf numFmtId="38" fontId="30" fillId="0" borderId="0" xfId="0" quotePrefix="1" applyNumberFormat="1" applyFont="1" applyBorder="1" applyAlignment="1"/>
    <xf numFmtId="38" fontId="10" fillId="4" borderId="0" xfId="2121" applyFont="1" applyAlignment="1">
      <alignment vertical="center"/>
    </xf>
    <xf numFmtId="38" fontId="4" fillId="4" borderId="0" xfId="2121" applyFont="1" applyAlignment="1">
      <alignment vertical="center"/>
    </xf>
    <xf numFmtId="38" fontId="9" fillId="4" borderId="0" xfId="2121" applyFont="1" applyAlignment="1">
      <alignment vertical="center"/>
    </xf>
    <xf numFmtId="38" fontId="4" fillId="4" borderId="0" xfId="2121" applyFont="1" applyAlignment="1">
      <alignment vertical="center" wrapText="1"/>
    </xf>
    <xf numFmtId="38" fontId="13" fillId="4" borderId="0" xfId="2121" applyFont="1" applyAlignment="1">
      <alignment vertical="center"/>
    </xf>
    <xf numFmtId="0" fontId="82" fillId="0" borderId="17" xfId="2119" applyFont="1" applyFill="1" applyBorder="1"/>
    <xf numFmtId="0" fontId="13" fillId="0" borderId="0" xfId="2119" applyFont="1" applyFill="1" applyBorder="1"/>
    <xf numFmtId="0" fontId="80" fillId="0" borderId="0" xfId="2119" applyFont="1" applyFill="1" applyBorder="1" applyAlignment="1">
      <alignment horizontal="left" indent="1"/>
    </xf>
    <xf numFmtId="37" fontId="8" fillId="0" borderId="13" xfId="1633" applyNumberFormat="1" applyFont="1" applyFill="1" applyBorder="1" applyAlignment="1">
      <alignment vertical="center"/>
    </xf>
    <xf numFmtId="0" fontId="20" fillId="10" borderId="40" xfId="2120" applyFont="1" applyFill="1" applyBorder="1" applyAlignment="1">
      <alignment horizontal="center" vertical="center"/>
    </xf>
    <xf numFmtId="0" fontId="20" fillId="10" borderId="51" xfId="2120" applyFont="1" applyFill="1" applyBorder="1" applyAlignment="1">
      <alignment horizontal="center" vertical="center"/>
    </xf>
    <xf numFmtId="38" fontId="8" fillId="0" borderId="0" xfId="1545" applyNumberFormat="1" applyFont="1" applyFill="1" applyBorder="1" applyAlignment="1"/>
    <xf numFmtId="38" fontId="13" fillId="0" borderId="0" xfId="1633" applyNumberFormat="1" applyFont="1" applyFill="1" applyBorder="1"/>
    <xf numFmtId="38" fontId="8" fillId="0" borderId="0" xfId="2119" applyNumberFormat="1" applyFont="1" applyFill="1" applyBorder="1"/>
    <xf numFmtId="0" fontId="20" fillId="0" borderId="0" xfId="2120" applyFont="1" applyFill="1" applyBorder="1" applyAlignment="1">
      <alignment horizontal="center" vertical="center"/>
    </xf>
    <xf numFmtId="38" fontId="13" fillId="0" borderId="0" xfId="1633" applyNumberFormat="1" applyFont="1" applyFill="1" applyBorder="1" applyAlignment="1">
      <alignment vertical="center"/>
    </xf>
    <xf numFmtId="0" fontId="20" fillId="0" borderId="0" xfId="2120" applyFont="1" applyFill="1" applyBorder="1" applyAlignment="1">
      <alignment horizontal="right" vertical="center"/>
    </xf>
    <xf numFmtId="187" fontId="8" fillId="0" borderId="0" xfId="2122" applyNumberFormat="1" applyFont="1" applyFill="1" applyBorder="1" applyAlignment="1">
      <alignment vertical="center"/>
    </xf>
    <xf numFmtId="183" fontId="8" fillId="0" borderId="0" xfId="1553" applyNumberFormat="1" applyFont="1" applyFill="1" applyBorder="1" applyAlignment="1">
      <alignment horizontal="right" vertical="center"/>
    </xf>
    <xf numFmtId="38" fontId="11" fillId="0" borderId="0" xfId="2123" applyNumberFormat="1" applyFont="1" applyFill="1" applyBorder="1" applyAlignment="1" applyProtection="1">
      <alignment horizontal="left"/>
    </xf>
    <xf numFmtId="38" fontId="160" fillId="0" borderId="0" xfId="2123" applyNumberFormat="1" applyFont="1" applyFill="1" applyBorder="1" applyAlignment="1" applyProtection="1">
      <alignment horizontal="left"/>
    </xf>
    <xf numFmtId="38" fontId="37" fillId="0" borderId="0" xfId="0" applyNumberFormat="1" applyFont="1" applyBorder="1" applyAlignment="1">
      <alignment horizontal="left" vertical="center"/>
    </xf>
    <xf numFmtId="38" fontId="13" fillId="0" borderId="21" xfId="0" applyNumberFormat="1" applyFont="1" applyFill="1" applyBorder="1" applyAlignment="1">
      <alignment horizontal="left" vertical="center"/>
    </xf>
    <xf numFmtId="38" fontId="8" fillId="0" borderId="21" xfId="0" applyNumberFormat="1" applyFont="1" applyFill="1" applyBorder="1" applyAlignment="1">
      <alignment horizontal="right" vertical="center" wrapText="1"/>
    </xf>
    <xf numFmtId="38" fontId="8" fillId="0" borderId="13" xfId="0" applyNumberFormat="1" applyFont="1" applyFill="1" applyBorder="1" applyAlignment="1">
      <alignment horizontal="right" vertical="center" wrapText="1"/>
    </xf>
    <xf numFmtId="38" fontId="8" fillId="0" borderId="13" xfId="0" applyNumberFormat="1" applyFont="1" applyFill="1" applyBorder="1" applyAlignment="1">
      <alignment vertical="center" wrapText="1"/>
    </xf>
    <xf numFmtId="38" fontId="0" fillId="0" borderId="21" xfId="0" applyNumberFormat="1" applyFont="1" applyBorder="1" applyAlignment="1"/>
    <xf numFmtId="38" fontId="0" fillId="0" borderId="18" xfId="0" applyNumberFormat="1" applyFont="1" applyBorder="1" applyAlignment="1"/>
    <xf numFmtId="38" fontId="8" fillId="0" borderId="0" xfId="0" applyNumberFormat="1" applyFont="1" applyFill="1" applyBorder="1" applyAlignment="1">
      <alignment vertical="center" wrapText="1"/>
    </xf>
    <xf numFmtId="38" fontId="0" fillId="0" borderId="0" xfId="0" applyNumberFormat="1" applyFont="1" applyFill="1" applyBorder="1" applyAlignment="1"/>
    <xf numFmtId="0" fontId="30" fillId="0" borderId="0" xfId="0" applyNumberFormat="1" applyFont="1" applyFill="1" applyBorder="1" applyAlignment="1"/>
    <xf numFmtId="38" fontId="30" fillId="0" borderId="0" xfId="0" applyNumberFormat="1" applyFont="1" applyBorder="1" applyAlignment="1">
      <alignment horizontal="left" vertical="center"/>
    </xf>
    <xf numFmtId="38" fontId="161" fillId="0" borderId="0" xfId="0" applyNumberFormat="1" applyFont="1" applyFill="1" applyBorder="1" applyAlignment="1"/>
    <xf numFmtId="177" fontId="161" fillId="0" borderId="0" xfId="0" applyNumberFormat="1" applyFont="1" applyFill="1" applyBorder="1" applyAlignment="1"/>
    <xf numFmtId="38" fontId="8" fillId="0" borderId="0" xfId="0" applyNumberFormat="1" applyFont="1" applyFill="1" applyBorder="1" applyAlignment="1">
      <alignment vertical="center"/>
    </xf>
    <xf numFmtId="38" fontId="48" fillId="0" borderId="0" xfId="0" applyNumberFormat="1" applyFont="1" applyFill="1" applyBorder="1" applyAlignment="1">
      <alignment vertical="center"/>
    </xf>
    <xf numFmtId="38" fontId="30" fillId="0" borderId="0" xfId="0" applyNumberFormat="1" applyFont="1" applyFill="1" applyBorder="1" applyAlignment="1">
      <alignment horizontal="center" vertical="center"/>
    </xf>
    <xf numFmtId="177" fontId="30" fillId="0" borderId="0" xfId="0" applyNumberFormat="1" applyFont="1" applyFill="1" applyBorder="1" applyAlignment="1">
      <alignment horizontal="center" vertical="center"/>
    </xf>
    <xf numFmtId="38" fontId="21" fillId="0" borderId="17" xfId="0" applyNumberFormat="1" applyFont="1" applyFill="1" applyBorder="1" applyAlignment="1">
      <alignment horizontal="center" vertical="center"/>
    </xf>
    <xf numFmtId="38" fontId="30" fillId="0" borderId="0" xfId="0" applyNumberFormat="1" applyFont="1" applyFill="1" applyBorder="1" applyAlignment="1">
      <alignment horizontal="left" vertical="center" wrapText="1"/>
    </xf>
    <xf numFmtId="38" fontId="34" fillId="0" borderId="0" xfId="0" applyNumberFormat="1" applyFont="1" applyFill="1" applyBorder="1" applyAlignment="1">
      <alignment vertical="center"/>
    </xf>
    <xf numFmtId="38" fontId="0" fillId="0" borderId="0" xfId="0" applyNumberFormat="1" applyFont="1" applyAlignment="1"/>
    <xf numFmtId="41" fontId="30" fillId="0" borderId="0" xfId="1545" quotePrefix="1" applyFont="1" applyBorder="1" applyAlignment="1">
      <alignment horizontal="left"/>
    </xf>
    <xf numFmtId="0" fontId="8" fillId="0" borderId="0" xfId="2122" applyFont="1" applyFill="1" applyBorder="1" applyAlignment="1">
      <alignment vertical="center"/>
    </xf>
    <xf numFmtId="38" fontId="13" fillId="0" borderId="0" xfId="0" applyNumberFormat="1" applyFont="1" applyBorder="1" applyAlignment="1">
      <alignment vertical="center"/>
    </xf>
    <xf numFmtId="0" fontId="29" fillId="4" borderId="0" xfId="2122" applyFont="1" applyFill="1" applyBorder="1" applyAlignment="1">
      <alignment horizontal="center" vertical="center"/>
    </xf>
    <xf numFmtId="38" fontId="30" fillId="4" borderId="0" xfId="0" applyNumberFormat="1" applyFont="1" applyFill="1" applyBorder="1" applyAlignment="1">
      <alignment horizontal="left" vertical="center"/>
    </xf>
    <xf numFmtId="0" fontId="34" fillId="4" borderId="0" xfId="2122" applyFont="1" applyFill="1" applyBorder="1" applyAlignment="1">
      <alignment vertical="center"/>
    </xf>
    <xf numFmtId="38" fontId="13" fillId="4" borderId="0" xfId="0" applyNumberFormat="1" applyFont="1" applyFill="1" applyBorder="1" applyAlignment="1">
      <alignment vertical="center"/>
    </xf>
    <xf numFmtId="0" fontId="17" fillId="4" borderId="0" xfId="2122" applyFont="1" applyFill="1" applyBorder="1"/>
    <xf numFmtId="38" fontId="72" fillId="0" borderId="0" xfId="0" applyNumberFormat="1" applyFont="1" applyFill="1" applyBorder="1" applyAlignment="1"/>
    <xf numFmtId="41" fontId="13" fillId="0" borderId="0" xfId="1545" quotePrefix="1" applyFont="1" applyBorder="1" applyAlignment="1">
      <alignment horizontal="left"/>
    </xf>
    <xf numFmtId="184" fontId="17" fillId="0" borderId="0" xfId="2122" applyNumberFormat="1" applyFont="1"/>
    <xf numFmtId="38" fontId="4" fillId="0" borderId="0" xfId="0" applyNumberFormat="1" applyFont="1" applyBorder="1" applyAlignment="1">
      <alignment horizontal="right" vertical="center"/>
    </xf>
    <xf numFmtId="0" fontId="13" fillId="0" borderId="0" xfId="0" applyNumberFormat="1" applyFont="1" applyFill="1" applyBorder="1" applyAlignment="1">
      <alignment vertical="center"/>
    </xf>
    <xf numFmtId="0" fontId="21" fillId="0" borderId="38" xfId="2123" applyNumberFormat="1" applyFont="1" applyFill="1" applyBorder="1" applyAlignment="1" applyProtection="1">
      <alignment vertical="center"/>
    </xf>
    <xf numFmtId="0" fontId="20" fillId="0" borderId="0" xfId="2120" applyFont="1" applyFill="1" applyBorder="1" applyAlignment="1">
      <alignment vertical="center"/>
    </xf>
    <xf numFmtId="0" fontId="83" fillId="0" borderId="0" xfId="2119" applyFont="1" applyFill="1" applyBorder="1" applyAlignment="1">
      <alignment vertical="center"/>
    </xf>
    <xf numFmtId="41" fontId="30" fillId="0" borderId="0" xfId="1633" applyFont="1" applyFill="1" applyBorder="1" applyAlignment="1">
      <alignment vertical="center"/>
    </xf>
    <xf numFmtId="38" fontId="55" fillId="0" borderId="0" xfId="0" applyNumberFormat="1" applyFont="1" applyFill="1" applyBorder="1" applyAlignment="1">
      <alignment vertical="top"/>
    </xf>
    <xf numFmtId="0" fontId="37" fillId="0" borderId="0" xfId="2119" applyFont="1" applyBorder="1" applyAlignment="1">
      <alignment horizontal="left" indent="1"/>
    </xf>
    <xf numFmtId="0" fontId="162" fillId="0" borderId="50" xfId="2118" applyFont="1" applyBorder="1"/>
    <xf numFmtId="0" fontId="164" fillId="4" borderId="22" xfId="2121" applyNumberFormat="1" applyFont="1" applyFill="1" applyBorder="1" applyAlignment="1">
      <alignment horizontal="center" vertical="center"/>
    </xf>
    <xf numFmtId="0" fontId="164" fillId="4" borderId="22" xfId="2121" applyNumberFormat="1" applyFont="1" applyFill="1" applyBorder="1" applyAlignment="1">
      <alignment horizontal="left" vertical="center"/>
    </xf>
    <xf numFmtId="0" fontId="163" fillId="4" borderId="22" xfId="2121" applyNumberFormat="1" applyFont="1" applyFill="1" applyBorder="1" applyAlignment="1">
      <alignment horizontal="center" vertical="center"/>
    </xf>
    <xf numFmtId="0" fontId="31" fillId="4" borderId="22" xfId="2121" applyNumberFormat="1" applyFont="1" applyFill="1" applyBorder="1" applyAlignment="1">
      <alignment horizontal="center" vertical="center"/>
    </xf>
    <xf numFmtId="0" fontId="31" fillId="4" borderId="22" xfId="2121" applyNumberFormat="1" applyFont="1" applyFill="1" applyBorder="1" applyAlignment="1">
      <alignment horizontal="right" vertical="center"/>
    </xf>
    <xf numFmtId="38" fontId="33" fillId="4" borderId="22" xfId="2121" applyFont="1" applyBorder="1"/>
    <xf numFmtId="38" fontId="13" fillId="4" borderId="22" xfId="2121" applyFont="1" applyBorder="1" applyAlignment="1">
      <alignment horizontal="right"/>
    </xf>
    <xf numFmtId="38" fontId="33" fillId="4" borderId="0" xfId="2121" applyFont="1"/>
    <xf numFmtId="38" fontId="10" fillId="4" borderId="17" xfId="2121" applyFont="1" applyBorder="1" applyAlignment="1">
      <alignment horizontal="left" indent="5"/>
    </xf>
    <xf numFmtId="38" fontId="10" fillId="4" borderId="0" xfId="2121" applyFont="1" applyAlignment="1">
      <alignment horizontal="left" indent="5"/>
    </xf>
    <xf numFmtId="38" fontId="8" fillId="4" borderId="0" xfId="2121" applyFont="1" applyAlignment="1">
      <alignment horizontal="right"/>
    </xf>
    <xf numFmtId="38" fontId="10" fillId="4" borderId="17" xfId="2121" applyFont="1" applyBorder="1"/>
    <xf numFmtId="38" fontId="15" fillId="0" borderId="0" xfId="0" applyNumberFormat="1" applyFont="1" applyAlignment="1">
      <alignment horizontal="left" indent="5"/>
    </xf>
    <xf numFmtId="38" fontId="162" fillId="0" borderId="0" xfId="0" applyNumberFormat="1" applyFont="1" applyAlignment="1">
      <alignment horizontal="right"/>
    </xf>
    <xf numFmtId="38" fontId="4" fillId="4" borderId="0" xfId="2123" applyNumberFormat="1" applyFont="1" applyFill="1" applyAlignment="1" applyProtection="1"/>
    <xf numFmtId="38" fontId="4" fillId="4" borderId="0" xfId="2121" applyFont="1" applyAlignment="1">
      <alignment vertical="top"/>
    </xf>
    <xf numFmtId="38" fontId="14" fillId="0" borderId="0" xfId="0" applyNumberFormat="1" applyFont="1" applyAlignment="1">
      <alignment horizontal="left" indent="5"/>
    </xf>
    <xf numFmtId="38" fontId="4" fillId="0" borderId="0" xfId="0" applyNumberFormat="1" applyFont="1" applyAlignment="1"/>
    <xf numFmtId="38" fontId="9" fillId="4" borderId="17" xfId="2121" applyFont="1" applyBorder="1"/>
    <xf numFmtId="38" fontId="4" fillId="4" borderId="0" xfId="2123" applyNumberFormat="1" applyFont="1" applyFill="1" applyAlignment="1" applyProtection="1">
      <alignment vertical="center"/>
    </xf>
    <xf numFmtId="38" fontId="9" fillId="4" borderId="0" xfId="2121" applyFont="1" applyFill="1" applyBorder="1" applyAlignment="1"/>
    <xf numFmtId="38" fontId="165" fillId="0" borderId="0" xfId="0" applyNumberFormat="1" applyFont="1" applyAlignment="1">
      <alignment horizontal="left" indent="5"/>
    </xf>
    <xf numFmtId="38" fontId="9" fillId="4" borderId="0" xfId="2121" applyFont="1" applyAlignment="1"/>
    <xf numFmtId="38" fontId="7" fillId="0" borderId="0" xfId="0" applyNumberFormat="1" applyFont="1" applyAlignment="1">
      <alignment horizontal="left"/>
    </xf>
    <xf numFmtId="38" fontId="13" fillId="0" borderId="0" xfId="0" applyNumberFormat="1" applyFont="1" applyFill="1" applyBorder="1" applyAlignment="1">
      <alignment horizontal="right"/>
    </xf>
    <xf numFmtId="0" fontId="13" fillId="0" borderId="0" xfId="2122" applyFont="1" applyFill="1" applyBorder="1" applyAlignment="1">
      <alignment horizontal="right" vertical="center"/>
    </xf>
    <xf numFmtId="38" fontId="5" fillId="0" borderId="0" xfId="0" applyNumberFormat="1" applyFont="1" applyBorder="1" applyAlignment="1">
      <alignment horizontal="right"/>
    </xf>
    <xf numFmtId="38" fontId="39" fillId="0" borderId="0" xfId="0" applyNumberFormat="1" applyFont="1" applyBorder="1" applyAlignment="1">
      <alignment horizontal="right" vertical="center" wrapText="1"/>
    </xf>
    <xf numFmtId="41" fontId="5" fillId="0" borderId="0" xfId="1545" applyFont="1" applyBorder="1" applyAlignment="1">
      <alignment horizontal="left"/>
    </xf>
    <xf numFmtId="41" fontId="6" fillId="0" borderId="18" xfId="1545" applyFont="1" applyBorder="1" applyAlignment="1">
      <alignment horizontal="left" vertical="center"/>
    </xf>
    <xf numFmtId="0" fontId="6" fillId="0" borderId="0" xfId="2122" applyFont="1" applyFill="1" applyBorder="1" applyAlignment="1">
      <alignment vertical="center"/>
    </xf>
    <xf numFmtId="0" fontId="6" fillId="0" borderId="18" xfId="2122" applyFont="1" applyFill="1" applyBorder="1" applyAlignment="1">
      <alignment vertical="center"/>
    </xf>
    <xf numFmtId="0" fontId="5" fillId="0" borderId="0" xfId="2122" applyFont="1" applyFill="1" applyBorder="1" applyAlignment="1">
      <alignment vertical="center"/>
    </xf>
    <xf numFmtId="0" fontId="168" fillId="0" borderId="0" xfId="2122" applyFont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68" fillId="0" borderId="0" xfId="0" applyNumberFormat="1" applyFont="1" applyFill="1" applyBorder="1" applyAlignment="1"/>
    <xf numFmtId="38" fontId="68" fillId="0" borderId="0" xfId="0" applyNumberFormat="1" applyFont="1" applyBorder="1" applyAlignment="1"/>
    <xf numFmtId="38" fontId="44" fillId="10" borderId="0" xfId="0" applyNumberFormat="1" applyFont="1" applyFill="1" applyBorder="1" applyAlignment="1">
      <alignment horizontal="right" vertical="center"/>
    </xf>
    <xf numFmtId="41" fontId="5" fillId="0" borderId="0" xfId="1545" quotePrefix="1" applyFont="1" applyBorder="1" applyAlignment="1">
      <alignment horizontal="left"/>
    </xf>
    <xf numFmtId="38" fontId="169" fillId="0" borderId="0" xfId="0" applyNumberFormat="1" applyFont="1" applyAlignment="1">
      <alignment horizontal="left" vertical="center"/>
    </xf>
    <xf numFmtId="38" fontId="39" fillId="0" borderId="0" xfId="0" applyNumberFormat="1" applyFont="1" applyFill="1" applyBorder="1" applyAlignment="1">
      <alignment horizontal="right" vertical="center"/>
    </xf>
    <xf numFmtId="38" fontId="170" fillId="0" borderId="0" xfId="0" applyNumberFormat="1" applyFont="1" applyBorder="1" applyAlignment="1"/>
    <xf numFmtId="0" fontId="39" fillId="0" borderId="0" xfId="0" applyNumberFormat="1" applyFont="1" applyFill="1" applyBorder="1" applyAlignment="1"/>
    <xf numFmtId="184" fontId="39" fillId="0" borderId="0" xfId="0" applyNumberFormat="1" applyFont="1" applyBorder="1" applyAlignment="1">
      <alignment vertical="center"/>
    </xf>
    <xf numFmtId="184" fontId="39" fillId="0" borderId="0" xfId="0" applyNumberFormat="1" applyFont="1" applyFill="1" applyBorder="1" applyAlignment="1">
      <alignment horizontal="right" vertical="center"/>
    </xf>
    <xf numFmtId="184" fontId="39" fillId="0" borderId="0" xfId="2122" applyNumberFormat="1" applyFont="1" applyFill="1" applyBorder="1" applyAlignment="1">
      <alignment vertical="center"/>
    </xf>
    <xf numFmtId="38" fontId="5" fillId="4" borderId="0" xfId="0" applyNumberFormat="1" applyFont="1" applyFill="1" applyBorder="1" applyAlignment="1">
      <alignment horizontal="right"/>
    </xf>
    <xf numFmtId="38" fontId="169" fillId="0" borderId="0" xfId="0" applyNumberFormat="1" applyFont="1" applyFill="1" applyBorder="1" applyAlignment="1"/>
    <xf numFmtId="38" fontId="12" fillId="0" borderId="0" xfId="0" applyNumberFormat="1" applyFont="1" applyBorder="1" applyAlignment="1">
      <alignment horizontal="right" vertical="center"/>
    </xf>
    <xf numFmtId="38" fontId="28" fillId="10" borderId="53" xfId="0" applyNumberFormat="1" applyFont="1" applyFill="1" applyBorder="1" applyAlignment="1">
      <alignment horizontal="right"/>
    </xf>
    <xf numFmtId="38" fontId="44" fillId="10" borderId="18" xfId="0" applyNumberFormat="1" applyFont="1" applyFill="1" applyBorder="1" applyAlignment="1">
      <alignment horizontal="right" wrapText="1"/>
    </xf>
    <xf numFmtId="38" fontId="44" fillId="10" borderId="54" xfId="0" applyNumberFormat="1" applyFont="1" applyFill="1" applyBorder="1" applyAlignment="1">
      <alignment horizontal="right" wrapText="1"/>
    </xf>
    <xf numFmtId="38" fontId="44" fillId="10" borderId="18" xfId="0" applyNumberFormat="1" applyFont="1" applyFill="1" applyBorder="1" applyAlignment="1">
      <alignment horizontal="right"/>
    </xf>
    <xf numFmtId="38" fontId="28" fillId="10" borderId="55" xfId="0" applyNumberFormat="1" applyFont="1" applyFill="1" applyBorder="1" applyAlignment="1">
      <alignment horizontal="right"/>
    </xf>
    <xf numFmtId="38" fontId="5" fillId="4" borderId="0" xfId="0" applyNumberFormat="1" applyFont="1" applyFill="1" applyBorder="1" applyAlignment="1"/>
    <xf numFmtId="38" fontId="175" fillId="10" borderId="0" xfId="0" applyNumberFormat="1" applyFont="1" applyFill="1" applyBorder="1" applyAlignment="1">
      <alignment horizontal="left" vertical="center"/>
    </xf>
    <xf numFmtId="38" fontId="176" fillId="0" borderId="0" xfId="0" applyNumberFormat="1" applyFont="1" applyAlignment="1">
      <alignment horizontal="left"/>
    </xf>
    <xf numFmtId="38" fontId="80" fillId="4" borderId="0" xfId="2121" applyFont="1" applyAlignment="1">
      <alignment horizontal="left"/>
    </xf>
    <xf numFmtId="38" fontId="177" fillId="0" borderId="0" xfId="0" applyNumberFormat="1" applyFont="1" applyAlignment="1">
      <alignment horizontal="left"/>
    </xf>
    <xf numFmtId="0" fontId="5" fillId="0" borderId="56" xfId="2122" applyFont="1" applyFill="1" applyBorder="1" applyAlignment="1">
      <alignment vertical="center"/>
    </xf>
    <xf numFmtId="38" fontId="8" fillId="0" borderId="13" xfId="0" applyNumberFormat="1" applyFont="1" applyFill="1" applyBorder="1" applyAlignment="1">
      <alignment vertical="center"/>
    </xf>
    <xf numFmtId="38" fontId="30" fillId="0" borderId="0" xfId="0" applyNumberFormat="1" applyFont="1" applyFill="1" applyBorder="1" applyAlignment="1">
      <alignment vertical="top" wrapText="1"/>
    </xf>
    <xf numFmtId="255" fontId="13" fillId="0" borderId="21" xfId="1633" applyNumberFormat="1" applyFont="1" applyFill="1" applyBorder="1" applyAlignment="1">
      <alignment vertical="center"/>
    </xf>
    <xf numFmtId="255" fontId="159" fillId="0" borderId="21" xfId="1633" applyNumberFormat="1" applyFont="1" applyFill="1" applyBorder="1" applyAlignment="1">
      <alignment vertical="center"/>
    </xf>
    <xf numFmtId="255" fontId="13" fillId="0" borderId="13" xfId="1633" applyNumberFormat="1" applyFont="1" applyFill="1" applyBorder="1" applyAlignment="1">
      <alignment vertical="center"/>
    </xf>
    <xf numFmtId="255" fontId="8" fillId="0" borderId="21" xfId="1633" applyNumberFormat="1" applyFont="1" applyFill="1" applyBorder="1" applyAlignment="1">
      <alignment vertical="center"/>
    </xf>
    <xf numFmtId="255" fontId="8" fillId="0" borderId="57" xfId="1633" applyNumberFormat="1" applyFont="1" applyFill="1" applyBorder="1" applyAlignment="1">
      <alignment vertical="center"/>
    </xf>
    <xf numFmtId="38" fontId="181" fillId="4" borderId="0" xfId="2123" applyNumberFormat="1" applyFont="1" applyFill="1" applyAlignment="1" applyProtection="1">
      <alignment vertical="center"/>
    </xf>
    <xf numFmtId="38" fontId="182" fillId="0" borderId="0" xfId="0" applyNumberFormat="1" applyFont="1" applyAlignment="1"/>
    <xf numFmtId="38" fontId="182" fillId="4" borderId="0" xfId="2121" applyFont="1"/>
    <xf numFmtId="38" fontId="181" fillId="4" borderId="0" xfId="2123" applyNumberFormat="1" applyFont="1" applyFill="1" applyAlignment="1" applyProtection="1"/>
    <xf numFmtId="38" fontId="183" fillId="0" borderId="0" xfId="0" applyNumberFormat="1" applyFont="1" applyAlignment="1">
      <alignment horizontal="left"/>
    </xf>
    <xf numFmtId="38" fontId="181" fillId="0" borderId="0" xfId="0" quotePrefix="1" applyNumberFormat="1" applyFont="1" applyAlignment="1"/>
    <xf numFmtId="38" fontId="183" fillId="4" borderId="0" xfId="2121" applyFont="1" applyAlignment="1">
      <alignment horizontal="right"/>
    </xf>
    <xf numFmtId="38" fontId="183" fillId="4" borderId="0" xfId="2121" quotePrefix="1" applyFont="1" applyAlignment="1">
      <alignment horizontal="right"/>
    </xf>
    <xf numFmtId="38" fontId="182" fillId="4" borderId="0" xfId="2121" applyFont="1" applyAlignment="1"/>
    <xf numFmtId="38" fontId="181" fillId="4" borderId="0" xfId="2121" applyFont="1" applyAlignment="1">
      <alignment vertical="top"/>
    </xf>
    <xf numFmtId="38" fontId="183" fillId="4" borderId="0" xfId="2121" applyFont="1"/>
    <xf numFmtId="38" fontId="184" fillId="0" borderId="0" xfId="0" applyNumberFormat="1" applyFont="1" applyAlignment="1"/>
    <xf numFmtId="38" fontId="185" fillId="4" borderId="0" xfId="2121" applyFont="1" applyAlignment="1">
      <alignment wrapText="1"/>
    </xf>
    <xf numFmtId="38" fontId="183" fillId="4" borderId="0" xfId="2121" quotePrefix="1" applyFont="1" applyAlignment="1">
      <alignment horizontal="right" wrapText="1"/>
    </xf>
    <xf numFmtId="38" fontId="186" fillId="4" borderId="0" xfId="2121" applyFont="1"/>
    <xf numFmtId="38" fontId="181" fillId="0" borderId="0" xfId="0" applyNumberFormat="1" applyFont="1" applyAlignment="1"/>
    <xf numFmtId="38" fontId="181" fillId="4" borderId="0" xfId="2123" applyNumberFormat="1" applyFont="1" applyFill="1" applyAlignment="1" applyProtection="1">
      <alignment wrapText="1"/>
    </xf>
    <xf numFmtId="38" fontId="181" fillId="4" borderId="0" xfId="2121" applyFont="1" applyAlignment="1">
      <alignment wrapText="1"/>
    </xf>
    <xf numFmtId="38" fontId="183" fillId="0" borderId="0" xfId="0" quotePrefix="1" applyNumberFormat="1" applyFont="1" applyAlignment="1">
      <alignment horizontal="right"/>
    </xf>
    <xf numFmtId="38" fontId="182" fillId="4" borderId="0" xfId="2121" applyFont="1" applyFill="1" applyBorder="1" applyAlignment="1"/>
    <xf numFmtId="38" fontId="183" fillId="4" borderId="0" xfId="2121" quotePrefix="1" applyFont="1" applyFill="1" applyBorder="1" applyAlignment="1">
      <alignment horizontal="right"/>
    </xf>
    <xf numFmtId="38" fontId="181" fillId="4" borderId="0" xfId="2121" applyFont="1" applyAlignment="1"/>
    <xf numFmtId="38" fontId="182" fillId="4" borderId="0" xfId="2121" applyFont="1" applyAlignment="1">
      <alignment horizontal="left"/>
    </xf>
    <xf numFmtId="38" fontId="182" fillId="4" borderId="0" xfId="2121" applyFont="1" applyFill="1" applyBorder="1"/>
    <xf numFmtId="38" fontId="183" fillId="4" borderId="0" xfId="2121" applyFont="1" applyFill="1" applyBorder="1" applyAlignment="1">
      <alignment horizontal="right"/>
    </xf>
    <xf numFmtId="38" fontId="187" fillId="4" borderId="0" xfId="2121" applyFont="1"/>
    <xf numFmtId="0" fontId="188" fillId="4" borderId="0" xfId="0" applyNumberFormat="1" applyFont="1" applyFill="1" applyBorder="1" applyAlignment="1">
      <alignment vertical="center"/>
    </xf>
    <xf numFmtId="0" fontId="189" fillId="4" borderId="0" xfId="0" applyNumberFormat="1" applyFont="1" applyFill="1" applyBorder="1" applyAlignment="1">
      <alignment horizontal="right" vertical="center"/>
    </xf>
    <xf numFmtId="38" fontId="181" fillId="4" borderId="0" xfId="2123" quotePrefix="1" applyNumberFormat="1" applyFont="1" applyFill="1" applyAlignment="1" applyProtection="1"/>
    <xf numFmtId="38" fontId="181" fillId="4" borderId="0" xfId="2123" applyNumberFormat="1" applyFont="1" applyFill="1" applyAlignment="1" applyProtection="1">
      <alignment horizontal="left" vertical="center" wrapText="1"/>
    </xf>
    <xf numFmtId="38" fontId="183" fillId="4" borderId="0" xfId="2121" applyFont="1" applyAlignment="1">
      <alignment wrapText="1"/>
    </xf>
    <xf numFmtId="38" fontId="187" fillId="4" borderId="0" xfId="2121" applyFont="1" applyAlignment="1">
      <alignment horizontal="left"/>
    </xf>
    <xf numFmtId="38" fontId="187" fillId="0" borderId="0" xfId="0" applyNumberFormat="1" applyFont="1" applyAlignment="1"/>
    <xf numFmtId="38" fontId="183" fillId="0" borderId="0" xfId="0" applyNumberFormat="1" applyFont="1" applyAlignment="1">
      <alignment horizontal="right"/>
    </xf>
    <xf numFmtId="38" fontId="182" fillId="4" borderId="0" xfId="0" applyNumberFormat="1" applyFont="1" applyFill="1" applyBorder="1" applyAlignment="1"/>
    <xf numFmtId="38" fontId="181" fillId="4" borderId="0" xfId="2121" applyFont="1" applyAlignment="1">
      <alignment horizontal="left" vertical="center" wrapText="1"/>
    </xf>
    <xf numFmtId="38" fontId="190" fillId="0" borderId="0" xfId="0" applyNumberFormat="1" applyFont="1" applyAlignment="1">
      <alignment horizontal="right"/>
    </xf>
    <xf numFmtId="38" fontId="64" fillId="0" borderId="33" xfId="2123" applyNumberFormat="1" applyFont="1" applyFill="1" applyBorder="1" applyAlignment="1" applyProtection="1">
      <alignment horizontal="left"/>
    </xf>
    <xf numFmtId="0" fontId="21" fillId="0" borderId="58" xfId="2123" applyNumberFormat="1" applyFont="1" applyFill="1" applyBorder="1" applyAlignment="1" applyProtection="1">
      <alignment vertical="center"/>
    </xf>
    <xf numFmtId="38" fontId="2" fillId="0" borderId="0" xfId="0" applyNumberFormat="1" applyFont="1" applyAlignment="1"/>
    <xf numFmtId="38" fontId="197" fillId="4" borderId="0" xfId="2123" applyNumberFormat="1" applyFont="1" applyFill="1" applyAlignment="1" applyProtection="1">
      <alignment horizontal="left" vertical="center" wrapText="1"/>
    </xf>
    <xf numFmtId="38" fontId="13" fillId="4" borderId="21" xfId="0" applyNumberFormat="1" applyFont="1" applyFill="1" applyBorder="1" applyAlignment="1">
      <alignment vertical="center"/>
    </xf>
    <xf numFmtId="177" fontId="78" fillId="0" borderId="21" xfId="0" applyNumberFormat="1" applyFont="1" applyBorder="1" applyAlignment="1">
      <alignment vertical="center"/>
    </xf>
    <xf numFmtId="38" fontId="13" fillId="0" borderId="59" xfId="0" applyNumberFormat="1" applyFont="1" applyBorder="1" applyAlignment="1"/>
    <xf numFmtId="38" fontId="13" fillId="4" borderId="13" xfId="0" applyNumberFormat="1" applyFont="1" applyFill="1" applyBorder="1" applyAlignment="1">
      <alignment vertical="center"/>
    </xf>
    <xf numFmtId="177" fontId="78" fillId="0" borderId="13" xfId="0" applyNumberFormat="1" applyFont="1" applyBorder="1" applyAlignment="1">
      <alignment vertical="center"/>
    </xf>
    <xf numFmtId="38" fontId="13" fillId="0" borderId="60" xfId="0" applyNumberFormat="1" applyFont="1" applyBorder="1" applyAlignment="1"/>
    <xf numFmtId="38" fontId="8" fillId="0" borderId="23" xfId="0" applyNumberFormat="1" applyFont="1" applyBorder="1" applyAlignment="1">
      <alignment vertical="center"/>
    </xf>
    <xf numFmtId="177" fontId="77" fillId="0" borderId="23" xfId="0" applyNumberFormat="1" applyFont="1" applyBorder="1" applyAlignment="1">
      <alignment vertical="center"/>
    </xf>
    <xf numFmtId="38" fontId="13" fillId="0" borderId="61" xfId="0" applyNumberFormat="1" applyFont="1" applyBorder="1" applyAlignment="1"/>
    <xf numFmtId="38" fontId="28" fillId="10" borderId="62" xfId="0" applyNumberFormat="1" applyFont="1" applyFill="1" applyBorder="1" applyAlignment="1"/>
    <xf numFmtId="38" fontId="44" fillId="10" borderId="18" xfId="0" applyNumberFormat="1" applyFont="1" applyFill="1" applyBorder="1" applyAlignment="1">
      <alignment horizontal="right" vertical="center" wrapText="1"/>
    </xf>
    <xf numFmtId="38" fontId="28" fillId="10" borderId="18" xfId="0" applyNumberFormat="1" applyFont="1" applyFill="1" applyBorder="1" applyAlignment="1">
      <alignment horizontal="right" vertical="center" wrapText="1"/>
    </xf>
    <xf numFmtId="38" fontId="44" fillId="10" borderId="63" xfId="0" applyNumberFormat="1" applyFont="1" applyFill="1" applyBorder="1" applyAlignment="1">
      <alignment horizontal="right" vertical="center" wrapText="1"/>
    </xf>
    <xf numFmtId="38" fontId="28" fillId="10" borderId="64" xfId="0" applyNumberFormat="1" applyFont="1" applyFill="1" applyBorder="1" applyAlignment="1">
      <alignment horizontal="right" vertical="center" wrapText="1"/>
    </xf>
    <xf numFmtId="9" fontId="8" fillId="4" borderId="21" xfId="1406" applyFont="1" applyFill="1" applyBorder="1" applyAlignment="1"/>
    <xf numFmtId="38" fontId="8" fillId="4" borderId="23" xfId="0" applyNumberFormat="1" applyFont="1" applyFill="1" applyBorder="1" applyAlignment="1"/>
    <xf numFmtId="186" fontId="159" fillId="4" borderId="21" xfId="1545" applyNumberFormat="1" applyFont="1" applyFill="1" applyBorder="1" applyAlignment="1"/>
    <xf numFmtId="186" fontId="8" fillId="4" borderId="23" xfId="1545" applyNumberFormat="1" applyFont="1" applyFill="1" applyBorder="1" applyAlignment="1">
      <alignment horizontal="right"/>
    </xf>
    <xf numFmtId="38" fontId="13" fillId="0" borderId="59" xfId="0" applyNumberFormat="1" applyFont="1" applyBorder="1" applyAlignment="1">
      <alignment vertical="center"/>
    </xf>
    <xf numFmtId="38" fontId="13" fillId="0" borderId="60" xfId="0" applyNumberFormat="1" applyFont="1" applyBorder="1" applyAlignment="1">
      <alignment vertical="center"/>
    </xf>
    <xf numFmtId="38" fontId="13" fillId="0" borderId="61" xfId="0" applyNumberFormat="1" applyFont="1" applyBorder="1" applyAlignment="1">
      <alignment vertical="center"/>
    </xf>
    <xf numFmtId="41" fontId="13" fillId="0" borderId="21" xfId="1545" applyFont="1" applyBorder="1" applyAlignment="1">
      <alignment vertical="center"/>
    </xf>
    <xf numFmtId="41" fontId="8" fillId="0" borderId="21" xfId="1545" applyFont="1" applyBorder="1" applyAlignment="1">
      <alignment vertical="center"/>
    </xf>
    <xf numFmtId="188" fontId="8" fillId="0" borderId="21" xfId="1545" applyNumberFormat="1" applyFont="1" applyBorder="1" applyAlignment="1">
      <alignment vertical="center"/>
    </xf>
    <xf numFmtId="41" fontId="13" fillId="0" borderId="23" xfId="1545" applyNumberFormat="1" applyFont="1" applyBorder="1" applyAlignment="1">
      <alignment vertical="center"/>
    </xf>
    <xf numFmtId="41" fontId="8" fillId="0" borderId="23" xfId="1545" applyFont="1" applyBorder="1" applyAlignment="1">
      <alignment vertical="center"/>
    </xf>
    <xf numFmtId="41" fontId="13" fillId="0" borderId="23" xfId="1545" applyFont="1" applyBorder="1" applyAlignment="1">
      <alignment vertical="center"/>
    </xf>
    <xf numFmtId="188" fontId="13" fillId="0" borderId="23" xfId="1545" applyNumberFormat="1" applyFont="1" applyBorder="1" applyAlignment="1">
      <alignment vertical="center"/>
    </xf>
    <xf numFmtId="41" fontId="8" fillId="0" borderId="23" xfId="1545" applyNumberFormat="1" applyFont="1" applyBorder="1" applyAlignment="1">
      <alignment vertical="center"/>
    </xf>
    <xf numFmtId="9" fontId="78" fillId="0" borderId="0" xfId="1406" applyFont="1" applyBorder="1" applyAlignment="1">
      <alignment vertical="center"/>
    </xf>
    <xf numFmtId="41" fontId="77" fillId="0" borderId="0" xfId="1545" applyFont="1" applyBorder="1" applyAlignment="1">
      <alignment vertical="center"/>
    </xf>
    <xf numFmtId="41" fontId="77" fillId="0" borderId="18" xfId="1545" applyFont="1" applyBorder="1" applyAlignment="1">
      <alignment vertical="center"/>
    </xf>
    <xf numFmtId="181" fontId="77" fillId="0" borderId="0" xfId="1545" applyNumberFormat="1" applyFont="1" applyBorder="1" applyAlignment="1">
      <alignment vertical="center"/>
    </xf>
    <xf numFmtId="38" fontId="13" fillId="0" borderId="21" xfId="0" applyNumberFormat="1" applyFont="1" applyBorder="1" applyAlignment="1"/>
    <xf numFmtId="182" fontId="13" fillId="4" borderId="21" xfId="1406" applyNumberFormat="1" applyFont="1" applyFill="1" applyBorder="1" applyAlignment="1"/>
    <xf numFmtId="38" fontId="13" fillId="0" borderId="23" xfId="0" applyNumberFormat="1" applyFont="1" applyBorder="1" applyAlignment="1"/>
    <xf numFmtId="182" fontId="13" fillId="4" borderId="23" xfId="0" applyNumberFormat="1" applyFont="1" applyFill="1" applyBorder="1" applyAlignment="1"/>
    <xf numFmtId="38" fontId="8" fillId="0" borderId="21" xfId="0" applyNumberFormat="1" applyFont="1" applyFill="1" applyBorder="1" applyAlignment="1"/>
    <xf numFmtId="38" fontId="78" fillId="0" borderId="0" xfId="0" applyNumberFormat="1" applyFont="1" applyBorder="1" applyAlignment="1"/>
    <xf numFmtId="38" fontId="77" fillId="4" borderId="21" xfId="0" applyNumberFormat="1" applyFont="1" applyFill="1" applyBorder="1" applyAlignment="1">
      <alignment horizontal="center"/>
    </xf>
    <xf numFmtId="38" fontId="78" fillId="0" borderId="21" xfId="0" applyNumberFormat="1" applyFont="1" applyBorder="1" applyAlignment="1"/>
    <xf numFmtId="38" fontId="78" fillId="4" borderId="0" xfId="0" applyNumberFormat="1" applyFont="1" applyFill="1" applyBorder="1" applyAlignment="1">
      <alignment horizontal="left"/>
    </xf>
    <xf numFmtId="182" fontId="78" fillId="4" borderId="21" xfId="0" applyNumberFormat="1" applyFont="1" applyFill="1" applyBorder="1" applyAlignment="1"/>
    <xf numFmtId="38" fontId="78" fillId="0" borderId="0" xfId="0" applyNumberFormat="1" applyFont="1" applyAlignment="1"/>
    <xf numFmtId="38" fontId="78" fillId="0" borderId="23" xfId="0" applyNumberFormat="1" applyFont="1" applyBorder="1" applyAlignment="1"/>
    <xf numFmtId="38" fontId="8" fillId="4" borderId="21" xfId="0" applyNumberFormat="1" applyFont="1" applyFill="1" applyBorder="1" applyAlignment="1">
      <alignment horizontal="center"/>
    </xf>
    <xf numFmtId="182" fontId="13" fillId="4" borderId="21" xfId="0" applyNumberFormat="1" applyFont="1" applyFill="1" applyBorder="1" applyAlignment="1"/>
    <xf numFmtId="38" fontId="13" fillId="4" borderId="0" xfId="0" applyNumberFormat="1" applyFont="1" applyFill="1" applyBorder="1" applyAlignment="1">
      <alignment horizontal="left"/>
    </xf>
    <xf numFmtId="38" fontId="13" fillId="4" borderId="13" xfId="0" applyNumberFormat="1" applyFont="1" applyFill="1" applyBorder="1" applyAlignment="1"/>
    <xf numFmtId="38" fontId="8" fillId="4" borderId="13" xfId="0" applyNumberFormat="1" applyFont="1" applyFill="1" applyBorder="1" applyAlignment="1">
      <alignment horizontal="center"/>
    </xf>
    <xf numFmtId="182" fontId="13" fillId="4" borderId="13" xfId="1406" applyNumberFormat="1" applyFont="1" applyFill="1" applyBorder="1" applyAlignment="1"/>
    <xf numFmtId="38" fontId="85" fillId="4" borderId="13" xfId="0" applyNumberFormat="1" applyFont="1" applyFill="1" applyBorder="1" applyAlignment="1">
      <alignment horizontal="right"/>
    </xf>
    <xf numFmtId="182" fontId="85" fillId="4" borderId="13" xfId="1406" applyNumberFormat="1" applyFont="1" applyFill="1" applyBorder="1" applyAlignment="1"/>
    <xf numFmtId="38" fontId="8" fillId="4" borderId="23" xfId="0" applyNumberFormat="1" applyFont="1" applyFill="1" applyBorder="1" applyAlignment="1">
      <alignment horizontal="center"/>
    </xf>
    <xf numFmtId="38" fontId="78" fillId="4" borderId="23" xfId="0" applyNumberFormat="1" applyFont="1" applyFill="1" applyBorder="1" applyAlignment="1"/>
    <xf numFmtId="182" fontId="78" fillId="4" borderId="23" xfId="1406" applyNumberFormat="1" applyFont="1" applyFill="1" applyBorder="1" applyAlignment="1"/>
    <xf numFmtId="38" fontId="194" fillId="4" borderId="21" xfId="0" applyNumberFormat="1" applyFont="1" applyFill="1" applyBorder="1" applyAlignment="1">
      <alignment horizontal="center"/>
    </xf>
    <xf numFmtId="38" fontId="85" fillId="0" borderId="21" xfId="0" applyNumberFormat="1" applyFont="1" applyBorder="1" applyAlignment="1"/>
    <xf numFmtId="184" fontId="8" fillId="4" borderId="21" xfId="0" applyNumberFormat="1" applyFont="1" applyFill="1" applyBorder="1" applyAlignment="1">
      <alignment horizontal="center"/>
    </xf>
    <xf numFmtId="38" fontId="85" fillId="4" borderId="21" xfId="0" applyNumberFormat="1" applyFont="1" applyFill="1" applyBorder="1" applyAlignment="1"/>
    <xf numFmtId="182" fontId="85" fillId="4" borderId="21" xfId="1406" applyNumberFormat="1" applyFont="1" applyFill="1" applyBorder="1" applyAlignment="1"/>
    <xf numFmtId="0" fontId="196" fillId="0" borderId="22" xfId="2123" applyNumberFormat="1" applyFont="1" applyFill="1" applyBorder="1" applyAlignment="1" applyProtection="1">
      <alignment horizontal="left" vertical="center"/>
    </xf>
    <xf numFmtId="0" fontId="196" fillId="0" borderId="22" xfId="0" applyNumberFormat="1" applyFont="1" applyFill="1" applyBorder="1" applyAlignment="1">
      <alignment horizontal="left" vertical="center"/>
    </xf>
    <xf numFmtId="0" fontId="196" fillId="0" borderId="22" xfId="2123" applyNumberFormat="1" applyFont="1" applyFill="1" applyBorder="1" applyAlignment="1" applyProtection="1">
      <alignment vertical="center"/>
    </xf>
    <xf numFmtId="0" fontId="199" fillId="0" borderId="0" xfId="2122" applyFont="1"/>
    <xf numFmtId="0" fontId="199" fillId="0" borderId="0" xfId="2122" applyFont="1" applyAlignment="1">
      <alignment vertical="top"/>
    </xf>
    <xf numFmtId="38" fontId="198" fillId="0" borderId="0" xfId="0" applyNumberFormat="1" applyFont="1" applyBorder="1" applyAlignment="1">
      <alignment horizontal="left" vertical="center"/>
    </xf>
    <xf numFmtId="184" fontId="13" fillId="0" borderId="21" xfId="2122" applyNumberFormat="1" applyFont="1" applyBorder="1" applyAlignment="1">
      <alignment vertical="center"/>
    </xf>
    <xf numFmtId="184" fontId="78" fillId="0" borderId="13" xfId="2122" applyNumberFormat="1" applyFont="1" applyFill="1" applyBorder="1" applyAlignment="1">
      <alignment vertical="center"/>
    </xf>
    <xf numFmtId="184" fontId="13" fillId="0" borderId="13" xfId="2122" applyNumberFormat="1" applyFont="1" applyFill="1" applyBorder="1" applyAlignment="1">
      <alignment vertical="center"/>
    </xf>
    <xf numFmtId="184" fontId="78" fillId="0" borderId="18" xfId="2122" applyNumberFormat="1" applyFont="1" applyBorder="1" applyAlignment="1">
      <alignment vertical="center"/>
    </xf>
    <xf numFmtId="184" fontId="13" fillId="0" borderId="23" xfId="2122" applyNumberFormat="1" applyFont="1" applyBorder="1" applyAlignment="1">
      <alignment vertical="center"/>
    </xf>
    <xf numFmtId="184" fontId="5" fillId="0" borderId="13" xfId="2122" applyNumberFormat="1" applyFont="1" applyFill="1" applyBorder="1" applyAlignment="1">
      <alignment vertical="center"/>
    </xf>
    <xf numFmtId="38" fontId="13" fillId="4" borderId="0" xfId="2121" applyFont="1" applyFill="1" applyBorder="1" applyAlignment="1"/>
    <xf numFmtId="0" fontId="8" fillId="4" borderId="0" xfId="0" applyNumberFormat="1" applyFont="1" applyFill="1" applyBorder="1" applyAlignment="1">
      <alignment vertical="center"/>
    </xf>
    <xf numFmtId="38" fontId="13" fillId="0" borderId="0" xfId="0" applyNumberFormat="1" applyFont="1" applyAlignment="1">
      <alignment vertical="center"/>
    </xf>
    <xf numFmtId="184" fontId="35" fillId="0" borderId="18" xfId="2122" applyNumberFormat="1" applyFont="1" applyFill="1" applyBorder="1" applyAlignment="1">
      <alignment vertical="center"/>
    </xf>
    <xf numFmtId="38" fontId="28" fillId="10" borderId="53" xfId="0" applyNumberFormat="1" applyFont="1" applyFill="1" applyBorder="1" applyAlignment="1">
      <alignment horizontal="right" vertical="center"/>
    </xf>
    <xf numFmtId="38" fontId="28" fillId="10" borderId="18" xfId="0" applyNumberFormat="1" applyFont="1" applyFill="1" applyBorder="1" applyAlignment="1">
      <alignment horizontal="right" vertical="center"/>
    </xf>
    <xf numFmtId="38" fontId="13" fillId="0" borderId="21" xfId="1632" applyNumberFormat="1" applyFont="1" applyFill="1" applyBorder="1" applyAlignment="1">
      <alignment vertical="center"/>
    </xf>
    <xf numFmtId="187" fontId="13" fillId="0" borderId="21" xfId="2122" applyNumberFormat="1" applyFont="1" applyFill="1" applyBorder="1" applyAlignment="1">
      <alignment vertical="center"/>
    </xf>
    <xf numFmtId="38" fontId="8" fillId="0" borderId="21" xfId="1632" applyNumberFormat="1" applyFont="1" applyFill="1" applyBorder="1" applyAlignment="1">
      <alignment vertical="center"/>
    </xf>
    <xf numFmtId="0" fontId="77" fillId="0" borderId="21" xfId="2122" applyFont="1" applyFill="1" applyBorder="1" applyAlignment="1">
      <alignment vertical="center"/>
    </xf>
    <xf numFmtId="41" fontId="78" fillId="0" borderId="13" xfId="1545" applyFont="1" applyFill="1" applyBorder="1" applyAlignment="1">
      <alignment vertical="center"/>
    </xf>
    <xf numFmtId="0" fontId="78" fillId="0" borderId="13" xfId="2122" applyFont="1" applyFill="1" applyBorder="1" applyAlignment="1">
      <alignment vertical="center"/>
    </xf>
    <xf numFmtId="38" fontId="78" fillId="0" borderId="18" xfId="2122" applyNumberFormat="1" applyFont="1" applyFill="1" applyBorder="1" applyAlignment="1">
      <alignment vertical="center"/>
    </xf>
    <xf numFmtId="0" fontId="78" fillId="0" borderId="18" xfId="2122" applyFont="1" applyFill="1" applyBorder="1" applyAlignment="1">
      <alignment vertical="center"/>
    </xf>
    <xf numFmtId="38" fontId="202" fillId="0" borderId="0" xfId="0" applyNumberFormat="1" applyFont="1" applyFill="1" applyBorder="1" applyAlignment="1">
      <alignment vertical="top"/>
    </xf>
    <xf numFmtId="38" fontId="78" fillId="0" borderId="21" xfId="2122" applyNumberFormat="1" applyFont="1" applyFill="1" applyBorder="1" applyAlignment="1">
      <alignment vertical="center"/>
    </xf>
    <xf numFmtId="38" fontId="78" fillId="0" borderId="23" xfId="2122" applyNumberFormat="1" applyFont="1" applyFill="1" applyBorder="1" applyAlignment="1">
      <alignment vertical="center"/>
    </xf>
    <xf numFmtId="187" fontId="13" fillId="0" borderId="23" xfId="2122" applyNumberFormat="1" applyFont="1" applyFill="1" applyBorder="1" applyAlignment="1">
      <alignment vertical="center"/>
    </xf>
    <xf numFmtId="0" fontId="5" fillId="0" borderId="13" xfId="2122" applyFont="1" applyFill="1" applyBorder="1" applyAlignment="1">
      <alignment vertical="center"/>
    </xf>
    <xf numFmtId="38" fontId="13" fillId="0" borderId="65" xfId="1632" applyNumberFormat="1" applyFont="1" applyFill="1" applyBorder="1" applyAlignment="1">
      <alignment vertical="center"/>
    </xf>
    <xf numFmtId="187" fontId="13" fillId="0" borderId="66" xfId="2122" applyNumberFormat="1" applyFont="1" applyFill="1" applyBorder="1" applyAlignment="1">
      <alignment vertical="center"/>
    </xf>
    <xf numFmtId="38" fontId="8" fillId="0" borderId="65" xfId="1632" applyNumberFormat="1" applyFont="1" applyFill="1" applyBorder="1" applyAlignment="1">
      <alignment vertical="center"/>
    </xf>
    <xf numFmtId="0" fontId="77" fillId="0" borderId="66" xfId="2122" applyFont="1" applyFill="1" applyBorder="1" applyAlignment="1">
      <alignment vertical="center"/>
    </xf>
    <xf numFmtId="38" fontId="179" fillId="4" borderId="0" xfId="2123" applyNumberFormat="1" applyFont="1" applyFill="1" applyAlignment="1" applyProtection="1"/>
    <xf numFmtId="38" fontId="31" fillId="0" borderId="0" xfId="0" applyNumberFormat="1" applyFont="1" applyFill="1" applyBorder="1" applyAlignment="1">
      <alignment horizontal="center" vertical="center"/>
    </xf>
    <xf numFmtId="0" fontId="198" fillId="0" borderId="0" xfId="2122" applyFont="1"/>
    <xf numFmtId="38" fontId="179" fillId="4" borderId="0" xfId="2123" applyNumberFormat="1" applyFont="1" applyFill="1" applyAlignment="1" applyProtection="1">
      <alignment vertical="center"/>
    </xf>
    <xf numFmtId="0" fontId="7" fillId="12" borderId="69" xfId="0" applyNumberFormat="1" applyFont="1" applyFill="1" applyBorder="1" applyAlignment="1">
      <alignment vertical="center"/>
    </xf>
    <xf numFmtId="0" fontId="7" fillId="12" borderId="21" xfId="0" applyNumberFormat="1" applyFont="1" applyFill="1" applyBorder="1" applyAlignment="1">
      <alignment vertical="center"/>
    </xf>
    <xf numFmtId="0" fontId="8" fillId="12" borderId="21" xfId="0" applyNumberFormat="1" applyFont="1" applyFill="1" applyBorder="1" applyAlignment="1">
      <alignment horizontal="right" vertical="center"/>
    </xf>
    <xf numFmtId="0" fontId="8" fillId="12" borderId="70" xfId="0" applyNumberFormat="1" applyFont="1" applyFill="1" applyBorder="1" applyAlignment="1">
      <alignment horizontal="right" vertical="center"/>
    </xf>
    <xf numFmtId="38" fontId="5" fillId="12" borderId="13" xfId="0" applyNumberFormat="1" applyFont="1" applyFill="1" applyBorder="1" applyAlignment="1">
      <alignment vertical="center" wrapText="1"/>
    </xf>
    <xf numFmtId="38" fontId="5" fillId="12" borderId="0" xfId="0" applyNumberFormat="1" applyFont="1" applyFill="1" applyBorder="1" applyAlignment="1">
      <alignment vertical="center" wrapText="1"/>
    </xf>
    <xf numFmtId="38" fontId="5" fillId="12" borderId="13" xfId="0" applyNumberFormat="1" applyFont="1" applyFill="1" applyBorder="1" applyAlignment="1">
      <alignment horizontal="left" vertical="center" wrapText="1"/>
    </xf>
    <xf numFmtId="38" fontId="5" fillId="12" borderId="18" xfId="0" applyNumberFormat="1" applyFont="1" applyFill="1" applyBorder="1" applyAlignment="1">
      <alignment vertical="center" wrapText="1"/>
    </xf>
    <xf numFmtId="38" fontId="5" fillId="12" borderId="13" xfId="0" applyNumberFormat="1" applyFont="1" applyFill="1" applyBorder="1" applyAlignment="1">
      <alignment horizontal="left" vertical="center"/>
    </xf>
    <xf numFmtId="38" fontId="35" fillId="12" borderId="21" xfId="0" applyNumberFormat="1" applyFont="1" applyFill="1" applyBorder="1" applyAlignment="1">
      <alignment vertical="center"/>
    </xf>
    <xf numFmtId="38" fontId="5" fillId="12" borderId="21" xfId="0" applyNumberFormat="1" applyFont="1" applyFill="1" applyBorder="1" applyAlignment="1">
      <alignment horizontal="left" vertical="center"/>
    </xf>
    <xf numFmtId="38" fontId="35" fillId="12" borderId="21" xfId="0" applyNumberFormat="1" applyFont="1" applyFill="1" applyBorder="1" applyAlignment="1">
      <alignment vertical="center" wrapText="1"/>
    </xf>
    <xf numFmtId="38" fontId="5" fillId="12" borderId="21" xfId="0" applyNumberFormat="1" applyFont="1" applyFill="1" applyBorder="1" applyAlignment="1">
      <alignment vertical="center"/>
    </xf>
    <xf numFmtId="38" fontId="35" fillId="12" borderId="23" xfId="0" applyNumberFormat="1" applyFont="1" applyFill="1" applyBorder="1" applyAlignment="1">
      <alignment vertical="center"/>
    </xf>
    <xf numFmtId="38" fontId="5" fillId="12" borderId="13" xfId="0" applyNumberFormat="1" applyFont="1" applyFill="1" applyBorder="1" applyAlignment="1">
      <alignment vertical="center"/>
    </xf>
    <xf numFmtId="182" fontId="13" fillId="12" borderId="71" xfId="1406" applyNumberFormat="1" applyFont="1" applyFill="1" applyBorder="1" applyAlignment="1">
      <alignment vertical="center" wrapText="1"/>
    </xf>
    <xf numFmtId="182" fontId="8" fillId="12" borderId="72" xfId="1406" applyNumberFormat="1" applyFont="1" applyFill="1" applyBorder="1" applyAlignment="1">
      <alignment vertical="center" wrapText="1"/>
    </xf>
    <xf numFmtId="182" fontId="13" fillId="12" borderId="44" xfId="1406" applyNumberFormat="1" applyFont="1" applyFill="1" applyBorder="1" applyAlignment="1">
      <alignment vertical="center" wrapText="1"/>
    </xf>
    <xf numFmtId="182" fontId="8" fillId="12" borderId="48" xfId="1406" applyNumberFormat="1" applyFont="1" applyFill="1" applyBorder="1" applyAlignment="1">
      <alignment vertical="center" wrapText="1"/>
    </xf>
    <xf numFmtId="38" fontId="35" fillId="12" borderId="21" xfId="0" applyNumberFormat="1" applyFont="1" applyFill="1" applyBorder="1" applyAlignment="1"/>
    <xf numFmtId="38" fontId="5" fillId="12" borderId="21" xfId="0" applyNumberFormat="1" applyFont="1" applyFill="1" applyBorder="1" applyAlignment="1"/>
    <xf numFmtId="38" fontId="5" fillId="12" borderId="21" xfId="0" applyNumberFormat="1" applyFont="1" applyFill="1" applyBorder="1" applyAlignment="1">
      <alignment horizontal="left" indent="1"/>
    </xf>
    <xf numFmtId="38" fontId="35" fillId="12" borderId="23" xfId="0" applyNumberFormat="1" applyFont="1" applyFill="1" applyBorder="1" applyAlignment="1">
      <alignment horizontal="left" indent="1"/>
    </xf>
    <xf numFmtId="0" fontId="5" fillId="12" borderId="18" xfId="2122" applyFont="1" applyFill="1" applyBorder="1" applyAlignment="1">
      <alignment vertical="center"/>
    </xf>
    <xf numFmtId="0" fontId="5" fillId="12" borderId="23" xfId="2122" applyFont="1" applyFill="1" applyBorder="1" applyAlignment="1">
      <alignment vertical="center"/>
    </xf>
    <xf numFmtId="0" fontId="6" fillId="12" borderId="23" xfId="2122" applyFont="1" applyFill="1" applyBorder="1" applyAlignment="1">
      <alignment vertical="center"/>
    </xf>
    <xf numFmtId="0" fontId="5" fillId="12" borderId="21" xfId="2122" applyFont="1" applyFill="1" applyBorder="1" applyAlignment="1">
      <alignment vertical="center"/>
    </xf>
    <xf numFmtId="0" fontId="5" fillId="12" borderId="13" xfId="2122" applyFont="1" applyFill="1" applyBorder="1" applyAlignment="1">
      <alignment vertical="center"/>
    </xf>
    <xf numFmtId="38" fontId="35" fillId="12" borderId="21" xfId="0" applyNumberFormat="1" applyFont="1" applyFill="1" applyBorder="1" applyAlignment="1">
      <alignment horizontal="left" indent="1"/>
    </xf>
    <xf numFmtId="38" fontId="13" fillId="12" borderId="21" xfId="0" applyNumberFormat="1" applyFont="1" applyFill="1" applyBorder="1" applyAlignment="1">
      <alignment horizontal="left" indent="1"/>
    </xf>
    <xf numFmtId="38" fontId="13" fillId="12" borderId="23" xfId="0" applyNumberFormat="1" applyFont="1" applyFill="1" applyBorder="1" applyAlignment="1">
      <alignment horizontal="left" indent="1"/>
    </xf>
    <xf numFmtId="38" fontId="171" fillId="12" borderId="21" xfId="0" applyNumberFormat="1" applyFont="1" applyFill="1" applyBorder="1" applyAlignment="1">
      <alignment horizontal="left" indent="1"/>
    </xf>
    <xf numFmtId="38" fontId="78" fillId="12" borderId="21" xfId="0" applyNumberFormat="1" applyFont="1" applyFill="1" applyBorder="1" applyAlignment="1">
      <alignment horizontal="left" indent="1"/>
    </xf>
    <xf numFmtId="38" fontId="78" fillId="12" borderId="23" xfId="0" applyNumberFormat="1" applyFont="1" applyFill="1" applyBorder="1" applyAlignment="1">
      <alignment horizontal="left" indent="1"/>
    </xf>
    <xf numFmtId="38" fontId="5" fillId="12" borderId="13" xfId="0" applyNumberFormat="1" applyFont="1" applyFill="1" applyBorder="1" applyAlignment="1">
      <alignment horizontal="left" indent="1"/>
    </xf>
    <xf numFmtId="38" fontId="13" fillId="12" borderId="23" xfId="0" applyNumberFormat="1" applyFont="1" applyFill="1" applyBorder="1" applyAlignment="1"/>
    <xf numFmtId="38" fontId="13" fillId="12" borderId="21" xfId="0" applyNumberFormat="1" applyFont="1" applyFill="1" applyBorder="1" applyAlignment="1">
      <alignment horizontal="left"/>
    </xf>
    <xf numFmtId="38" fontId="13" fillId="12" borderId="13" xfId="0" applyNumberFormat="1" applyFont="1" applyFill="1" applyBorder="1" applyAlignment="1">
      <alignment horizontal="left"/>
    </xf>
    <xf numFmtId="38" fontId="171" fillId="12" borderId="13" xfId="0" applyNumberFormat="1" applyFont="1" applyFill="1" applyBorder="1" applyAlignment="1">
      <alignment horizontal="left" indent="1"/>
    </xf>
    <xf numFmtId="38" fontId="30" fillId="0" borderId="0" xfId="0" applyNumberFormat="1" applyFont="1" applyFill="1" applyAlignment="1"/>
    <xf numFmtId="38" fontId="171" fillId="12" borderId="21" xfId="0" applyNumberFormat="1" applyFont="1" applyFill="1" applyBorder="1" applyAlignment="1">
      <alignment vertical="center"/>
    </xf>
    <xf numFmtId="38" fontId="8" fillId="12" borderId="23" xfId="0" applyNumberFormat="1" applyFont="1" applyFill="1" applyBorder="1" applyAlignment="1">
      <alignment vertical="center"/>
    </xf>
    <xf numFmtId="0" fontId="30" fillId="12" borderId="73" xfId="2122" applyFont="1" applyFill="1" applyBorder="1" applyAlignment="1">
      <alignment horizontal="right" vertical="center" wrapText="1"/>
    </xf>
    <xf numFmtId="0" fontId="30" fillId="12" borderId="52" xfId="2122" applyFont="1" applyFill="1" applyBorder="1" applyAlignment="1">
      <alignment horizontal="right" vertical="center" wrapText="1"/>
    </xf>
    <xf numFmtId="0" fontId="30" fillId="12" borderId="74" xfId="2122" applyFont="1" applyFill="1" applyBorder="1" applyAlignment="1">
      <alignment horizontal="right" vertical="center" wrapText="1"/>
    </xf>
    <xf numFmtId="0" fontId="5" fillId="12" borderId="37" xfId="2122" applyFont="1" applyFill="1" applyBorder="1" applyAlignment="1">
      <alignment vertical="center"/>
    </xf>
    <xf numFmtId="0" fontId="13" fillId="12" borderId="18" xfId="2122" applyFont="1" applyFill="1" applyBorder="1" applyAlignment="1">
      <alignment vertical="center"/>
    </xf>
    <xf numFmtId="0" fontId="13" fillId="12" borderId="21" xfId="2122" applyFont="1" applyFill="1" applyBorder="1" applyAlignment="1">
      <alignment vertical="center"/>
    </xf>
    <xf numFmtId="0" fontId="13" fillId="12" borderId="0" xfId="2122" applyFont="1" applyFill="1" applyBorder="1" applyAlignment="1">
      <alignment horizontal="right" vertical="center"/>
    </xf>
    <xf numFmtId="0" fontId="13" fillId="12" borderId="75" xfId="2122" applyFont="1" applyFill="1" applyBorder="1" applyAlignment="1">
      <alignment horizontal="right" vertical="center"/>
    </xf>
    <xf numFmtId="0" fontId="35" fillId="12" borderId="21" xfId="2122" applyFont="1" applyFill="1" applyBorder="1" applyAlignment="1">
      <alignment vertical="center"/>
    </xf>
    <xf numFmtId="0" fontId="35" fillId="12" borderId="18" xfId="2122" applyFont="1" applyFill="1" applyBorder="1" applyAlignment="1">
      <alignment vertical="center"/>
    </xf>
    <xf numFmtId="0" fontId="31" fillId="0" borderId="18" xfId="2122" applyFont="1" applyFill="1" applyBorder="1" applyAlignment="1">
      <alignment horizontal="center" vertical="center"/>
    </xf>
    <xf numFmtId="0" fontId="8" fillId="12" borderId="21" xfId="2122" applyFont="1" applyFill="1" applyBorder="1" applyAlignment="1">
      <alignment vertical="center"/>
    </xf>
    <xf numFmtId="0" fontId="8" fillId="12" borderId="23" xfId="2122" applyFont="1" applyFill="1" applyBorder="1" applyAlignment="1">
      <alignment vertical="center"/>
    </xf>
    <xf numFmtId="38" fontId="8" fillId="12" borderId="35" xfId="0" applyNumberFormat="1" applyFont="1" applyFill="1" applyBorder="1" applyAlignment="1">
      <alignment horizontal="center" vertical="center"/>
    </xf>
    <xf numFmtId="0" fontId="5" fillId="12" borderId="0" xfId="2122" applyFont="1" applyFill="1" applyBorder="1" applyAlignment="1">
      <alignment horizontal="right" vertical="center"/>
    </xf>
    <xf numFmtId="0" fontId="171" fillId="12" borderId="76" xfId="2122" applyFont="1" applyFill="1" applyBorder="1" applyAlignment="1">
      <alignment horizontal="right" vertical="center"/>
    </xf>
    <xf numFmtId="0" fontId="171" fillId="12" borderId="0" xfId="2122" applyFont="1" applyFill="1" applyBorder="1" applyAlignment="1">
      <alignment horizontal="right" vertical="center"/>
    </xf>
    <xf numFmtId="0" fontId="5" fillId="12" borderId="76" xfId="2122" applyFont="1" applyFill="1" applyBorder="1" applyAlignment="1">
      <alignment horizontal="right" vertical="center"/>
    </xf>
    <xf numFmtId="184" fontId="5" fillId="12" borderId="21" xfId="2122" applyNumberFormat="1" applyFont="1" applyFill="1" applyBorder="1" applyAlignment="1">
      <alignment vertical="center"/>
    </xf>
    <xf numFmtId="184" fontId="35" fillId="12" borderId="21" xfId="2122" applyNumberFormat="1" applyFont="1" applyFill="1" applyBorder="1" applyAlignment="1">
      <alignment vertical="center"/>
    </xf>
    <xf numFmtId="184" fontId="5" fillId="12" borderId="23" xfId="2122" applyNumberFormat="1" applyFont="1" applyFill="1" applyBorder="1" applyAlignment="1">
      <alignment vertical="center"/>
    </xf>
    <xf numFmtId="184" fontId="39" fillId="12" borderId="21" xfId="2122" applyNumberFormat="1" applyFont="1" applyFill="1" applyBorder="1" applyAlignment="1">
      <alignment vertical="center"/>
    </xf>
    <xf numFmtId="184" fontId="39" fillId="12" borderId="18" xfId="2122" applyNumberFormat="1" applyFont="1" applyFill="1" applyBorder="1" applyAlignment="1">
      <alignment vertical="center"/>
    </xf>
    <xf numFmtId="0" fontId="167" fillId="12" borderId="77" xfId="2122" applyFont="1" applyFill="1" applyBorder="1" applyAlignment="1">
      <alignment vertical="center"/>
    </xf>
    <xf numFmtId="38" fontId="2" fillId="12" borderId="78" xfId="0" applyNumberFormat="1" applyFont="1" applyFill="1" applyBorder="1" applyAlignment="1">
      <alignment horizontal="right" vertical="center"/>
    </xf>
    <xf numFmtId="38" fontId="2" fillId="12" borderId="77" xfId="0" applyNumberFormat="1" applyFont="1" applyFill="1" applyBorder="1" applyAlignment="1">
      <alignment horizontal="center" vertical="center"/>
    </xf>
    <xf numFmtId="38" fontId="30" fillId="12" borderId="77" xfId="0" applyNumberFormat="1" applyFont="1" applyFill="1" applyBorder="1" applyAlignment="1">
      <alignment horizontal="center" vertical="center"/>
    </xf>
    <xf numFmtId="38" fontId="171" fillId="12" borderId="79" xfId="0" applyNumberFormat="1" applyFont="1" applyFill="1" applyBorder="1" applyAlignment="1">
      <alignment horizontal="right" vertical="center"/>
    </xf>
    <xf numFmtId="38" fontId="171" fillId="12" borderId="77" xfId="0" applyNumberFormat="1" applyFont="1" applyFill="1" applyBorder="1" applyAlignment="1">
      <alignment horizontal="right" vertical="center"/>
    </xf>
    <xf numFmtId="38" fontId="5" fillId="12" borderId="80" xfId="0" applyNumberFormat="1" applyFont="1" applyFill="1" applyBorder="1" applyAlignment="1">
      <alignment horizontal="center" vertical="center"/>
    </xf>
    <xf numFmtId="38" fontId="5" fillId="12" borderId="81" xfId="0" applyNumberFormat="1" applyFont="1" applyFill="1" applyBorder="1" applyAlignment="1">
      <alignment horizontal="center" vertical="center"/>
    </xf>
    <xf numFmtId="38" fontId="5" fillId="12" borderId="82" xfId="0" applyNumberFormat="1" applyFont="1" applyFill="1" applyBorder="1" applyAlignment="1">
      <alignment horizontal="center" vertical="center"/>
    </xf>
    <xf numFmtId="38" fontId="6" fillId="12" borderId="82" xfId="0" applyNumberFormat="1" applyFont="1" applyFill="1" applyBorder="1" applyAlignment="1">
      <alignment horizontal="center" vertical="center"/>
    </xf>
    <xf numFmtId="38" fontId="6" fillId="12" borderId="80" xfId="0" applyNumberFormat="1" applyFont="1" applyFill="1" applyBorder="1" applyAlignment="1">
      <alignment horizontal="center" vertical="center"/>
    </xf>
    <xf numFmtId="38" fontId="6" fillId="12" borderId="83" xfId="0" applyNumberFormat="1" applyFont="1" applyFill="1" applyBorder="1" applyAlignment="1">
      <alignment horizontal="center" vertical="center"/>
    </xf>
    <xf numFmtId="41" fontId="13" fillId="12" borderId="21" xfId="1545" applyFont="1" applyFill="1" applyBorder="1" applyAlignment="1">
      <alignment horizontal="left" vertical="center" indent="1"/>
    </xf>
    <xf numFmtId="41" fontId="8" fillId="12" borderId="21" xfId="1633" applyFont="1" applyFill="1" applyBorder="1" applyAlignment="1">
      <alignment horizontal="left" vertical="center" indent="1"/>
    </xf>
    <xf numFmtId="41" fontId="13" fillId="12" borderId="21" xfId="1633" applyFont="1" applyFill="1" applyBorder="1" applyAlignment="1">
      <alignment horizontal="left" vertical="center" indent="1"/>
    </xf>
    <xf numFmtId="41" fontId="8" fillId="12" borderId="13" xfId="1633" applyFont="1" applyFill="1" applyBorder="1" applyAlignment="1">
      <alignment horizontal="left" vertical="center" indent="1"/>
    </xf>
    <xf numFmtId="41" fontId="8" fillId="12" borderId="49" xfId="1633" applyFont="1" applyFill="1" applyBorder="1" applyAlignment="1">
      <alignment horizontal="left" vertical="center" wrapText="1" indent="1"/>
    </xf>
    <xf numFmtId="38" fontId="65" fillId="12" borderId="21" xfId="0" applyNumberFormat="1" applyFont="1" applyFill="1" applyBorder="1" applyAlignment="1">
      <alignment vertical="center"/>
    </xf>
    <xf numFmtId="38" fontId="171" fillId="12" borderId="21" xfId="0" applyNumberFormat="1" applyFont="1" applyFill="1" applyBorder="1" applyAlignment="1">
      <alignment horizontal="left" vertical="center" indent="1"/>
    </xf>
    <xf numFmtId="38" fontId="13" fillId="12" borderId="21" xfId="0" applyNumberFormat="1" applyFont="1" applyFill="1" applyBorder="1" applyAlignment="1">
      <alignment horizontal="left" vertical="center" indent="1"/>
    </xf>
    <xf numFmtId="38" fontId="65" fillId="12" borderId="21" xfId="0" applyNumberFormat="1" applyFont="1" applyFill="1" applyBorder="1" applyAlignment="1">
      <alignment horizontal="left" vertical="center" indent="1"/>
    </xf>
    <xf numFmtId="38" fontId="171" fillId="12" borderId="21" xfId="0" applyNumberFormat="1" applyFont="1" applyFill="1" applyBorder="1" applyAlignment="1">
      <alignment horizontal="left" vertical="center" wrapText="1" indent="1"/>
    </xf>
    <xf numFmtId="38" fontId="171" fillId="12" borderId="21" xfId="0" applyNumberFormat="1" applyFont="1" applyFill="1" applyBorder="1" applyAlignment="1">
      <alignment horizontal="left" vertical="center"/>
    </xf>
    <xf numFmtId="38" fontId="65" fillId="12" borderId="21" xfId="0" applyNumberFormat="1" applyFont="1" applyFill="1" applyBorder="1" applyAlignment="1">
      <alignment horizontal="left" vertical="center"/>
    </xf>
    <xf numFmtId="38" fontId="174" fillId="12" borderId="84" xfId="0" applyNumberFormat="1" applyFont="1" applyFill="1" applyBorder="1" applyAlignment="1">
      <alignment horizontal="left" vertical="center" indent="1"/>
    </xf>
    <xf numFmtId="38" fontId="174" fillId="12" borderId="85" xfId="0" applyNumberFormat="1" applyFont="1" applyFill="1" applyBorder="1" applyAlignment="1">
      <alignment horizontal="left" vertical="center" indent="1"/>
    </xf>
    <xf numFmtId="38" fontId="174" fillId="12" borderId="86" xfId="0" applyNumberFormat="1" applyFont="1" applyFill="1" applyBorder="1" applyAlignment="1">
      <alignment horizontal="left" vertical="center" indent="1"/>
    </xf>
    <xf numFmtId="38" fontId="5" fillId="12" borderId="23" xfId="0" applyNumberFormat="1" applyFont="1" applyFill="1" applyBorder="1" applyAlignment="1"/>
    <xf numFmtId="0" fontId="6" fillId="12" borderId="87" xfId="0" applyNumberFormat="1" applyFont="1" applyFill="1" applyBorder="1" applyAlignment="1">
      <alignment vertical="center"/>
    </xf>
    <xf numFmtId="0" fontId="5" fillId="12" borderId="21" xfId="0" applyNumberFormat="1" applyFont="1" applyFill="1" applyBorder="1" applyAlignment="1">
      <alignment vertical="center"/>
    </xf>
    <xf numFmtId="0" fontId="6" fillId="12" borderId="21" xfId="0" applyNumberFormat="1" applyFont="1" applyFill="1" applyBorder="1" applyAlignment="1">
      <alignment vertical="center"/>
    </xf>
    <xf numFmtId="0" fontId="6" fillId="12" borderId="57" xfId="0" applyNumberFormat="1" applyFont="1" applyFill="1" applyBorder="1" applyAlignment="1">
      <alignment vertical="center"/>
    </xf>
    <xf numFmtId="0" fontId="6" fillId="12" borderId="13" xfId="0" applyNumberFormat="1" applyFont="1" applyFill="1" applyBorder="1" applyAlignment="1">
      <alignment vertical="center"/>
    </xf>
    <xf numFmtId="38" fontId="203" fillId="4" borderId="0" xfId="2123" applyNumberFormat="1" applyFont="1" applyFill="1" applyAlignment="1" applyProtection="1"/>
    <xf numFmtId="38" fontId="179" fillId="4" borderId="0" xfId="2123" applyNumberFormat="1" applyFont="1" applyFill="1" applyAlignment="1" applyProtection="1">
      <alignment horizontal="left" vertical="center" wrapText="1"/>
    </xf>
    <xf numFmtId="38" fontId="207" fillId="4" borderId="0" xfId="2123" applyNumberFormat="1" applyFont="1" applyFill="1" applyAlignment="1" applyProtection="1">
      <alignment horizontal="left" vertical="center" wrapText="1"/>
    </xf>
    <xf numFmtId="0" fontId="196" fillId="0" borderId="16" xfId="2123" applyNumberFormat="1" applyFont="1" applyFill="1" applyBorder="1" applyAlignment="1" applyProtection="1">
      <alignment horizontal="left" vertical="center"/>
    </xf>
    <xf numFmtId="38" fontId="208" fillId="0" borderId="17" xfId="0" applyNumberFormat="1" applyFont="1" applyFill="1" applyBorder="1" applyAlignment="1"/>
    <xf numFmtId="190" fontId="30" fillId="0" borderId="25" xfId="1631" applyNumberFormat="1" applyFont="1" applyFill="1" applyBorder="1" applyAlignment="1">
      <alignment horizontal="right" vertical="center"/>
    </xf>
    <xf numFmtId="190" fontId="30" fillId="0" borderId="18" xfId="1631" applyNumberFormat="1" applyFont="1" applyFill="1" applyBorder="1" applyAlignment="1">
      <alignment horizontal="right" vertical="center"/>
    </xf>
    <xf numFmtId="191" fontId="34" fillId="0" borderId="24" xfId="1631" applyNumberFormat="1" applyFont="1" applyFill="1" applyBorder="1" applyAlignment="1">
      <alignment horizontal="right" vertical="center"/>
    </xf>
    <xf numFmtId="190" fontId="30" fillId="0" borderId="27" xfId="1631" applyNumberFormat="1" applyFont="1" applyFill="1" applyBorder="1" applyAlignment="1">
      <alignment horizontal="right" vertical="center"/>
    </xf>
    <xf numFmtId="190" fontId="30" fillId="0" borderId="23" xfId="1631" applyNumberFormat="1" applyFont="1" applyFill="1" applyBorder="1" applyAlignment="1">
      <alignment horizontal="right" vertical="center"/>
    </xf>
    <xf numFmtId="190" fontId="30" fillId="0" borderId="25" xfId="2122" applyNumberFormat="1" applyFont="1" applyFill="1" applyBorder="1" applyAlignment="1">
      <alignment horizontal="right" vertical="center"/>
    </xf>
    <xf numFmtId="190" fontId="30" fillId="0" borderId="18" xfId="2122" applyNumberFormat="1" applyFont="1" applyFill="1" applyBorder="1" applyAlignment="1">
      <alignment horizontal="right" vertical="center"/>
    </xf>
    <xf numFmtId="191" fontId="34" fillId="0" borderId="28" xfId="2122" applyNumberFormat="1" applyFont="1" applyFill="1" applyBorder="1" applyAlignment="1">
      <alignment horizontal="right" vertical="center"/>
    </xf>
    <xf numFmtId="190" fontId="30" fillId="0" borderId="32" xfId="1545" applyNumberFormat="1" applyFont="1" applyFill="1" applyBorder="1" applyAlignment="1">
      <alignment horizontal="right" vertical="center"/>
    </xf>
    <xf numFmtId="190" fontId="30" fillId="0" borderId="30" xfId="1545" applyNumberFormat="1" applyFont="1" applyFill="1" applyBorder="1" applyAlignment="1">
      <alignment horizontal="right" vertical="center"/>
    </xf>
    <xf numFmtId="191" fontId="34" fillId="0" borderId="88" xfId="1631" applyNumberFormat="1" applyFont="1" applyFill="1" applyBorder="1" applyAlignment="1">
      <alignment horizontal="right" vertical="center"/>
    </xf>
    <xf numFmtId="9" fontId="30" fillId="0" borderId="37" xfId="1422" applyFont="1" applyFill="1" applyBorder="1" applyAlignment="1">
      <alignment horizontal="center" vertical="center"/>
    </xf>
    <xf numFmtId="255" fontId="191" fillId="0" borderId="89" xfId="0" applyNumberFormat="1" applyFont="1" applyFill="1" applyBorder="1" applyAlignment="1">
      <alignment horizontal="right" vertical="center"/>
    </xf>
    <xf numFmtId="255" fontId="191" fillId="0" borderId="37" xfId="0" applyNumberFormat="1" applyFont="1" applyFill="1" applyBorder="1">
      <alignment vertical="center"/>
    </xf>
    <xf numFmtId="9" fontId="30" fillId="0" borderId="21" xfId="1422" applyFont="1" applyFill="1" applyBorder="1" applyAlignment="1">
      <alignment horizontal="center" vertical="center"/>
    </xf>
    <xf numFmtId="255" fontId="191" fillId="0" borderId="26" xfId="0" applyNumberFormat="1" applyFont="1" applyFill="1" applyBorder="1" applyAlignment="1">
      <alignment horizontal="right" vertical="center"/>
    </xf>
    <xf numFmtId="255" fontId="191" fillId="0" borderId="21" xfId="0" applyNumberFormat="1" applyFont="1" applyFill="1" applyBorder="1">
      <alignment vertical="center"/>
    </xf>
    <xf numFmtId="9" fontId="34" fillId="0" borderId="23" xfId="1422" applyFont="1" applyFill="1" applyBorder="1" applyAlignment="1">
      <alignment horizontal="center" vertical="center"/>
    </xf>
    <xf numFmtId="182" fontId="34" fillId="0" borderId="23" xfId="1422" applyNumberFormat="1" applyFont="1" applyFill="1" applyBorder="1" applyAlignment="1">
      <alignment horizontal="center" vertical="center"/>
    </xf>
    <xf numFmtId="255" fontId="192" fillId="0" borderId="27" xfId="0" applyNumberFormat="1" applyFont="1" applyFill="1" applyBorder="1" applyAlignment="1">
      <alignment horizontal="right" vertical="center"/>
    </xf>
    <xf numFmtId="38" fontId="8" fillId="0" borderId="49" xfId="1633" applyNumberFormat="1" applyFont="1" applyFill="1" applyBorder="1" applyAlignment="1">
      <alignment vertical="center"/>
    </xf>
    <xf numFmtId="38" fontId="13" fillId="0" borderId="89" xfId="0" applyNumberFormat="1" applyFont="1" applyFill="1" applyBorder="1" applyAlignment="1"/>
    <xf numFmtId="38" fontId="13" fillId="0" borderId="18" xfId="0" applyNumberFormat="1" applyFont="1" applyFill="1" applyBorder="1" applyAlignment="1"/>
    <xf numFmtId="38" fontId="13" fillId="0" borderId="87" xfId="1422" applyNumberFormat="1" applyFont="1" applyFill="1" applyBorder="1"/>
    <xf numFmtId="182" fontId="13" fillId="0" borderId="25" xfId="1422" applyNumberFormat="1" applyFont="1" applyFill="1" applyBorder="1"/>
    <xf numFmtId="182" fontId="13" fillId="0" borderId="18" xfId="1422" applyNumberFormat="1" applyFont="1" applyFill="1" applyBorder="1"/>
    <xf numFmtId="38" fontId="13" fillId="0" borderId="26" xfId="0" applyNumberFormat="1" applyFont="1" applyFill="1" applyBorder="1" applyAlignment="1"/>
    <xf numFmtId="38" fontId="13" fillId="0" borderId="21" xfId="0" applyNumberFormat="1" applyFont="1" applyFill="1" applyBorder="1" applyAlignment="1"/>
    <xf numFmtId="38" fontId="13" fillId="0" borderId="21" xfId="1422" applyNumberFormat="1" applyFont="1" applyFill="1" applyBorder="1"/>
    <xf numFmtId="10" fontId="13" fillId="0" borderId="93" xfId="0" applyNumberFormat="1" applyFont="1" applyFill="1" applyBorder="1" applyAlignment="1"/>
    <xf numFmtId="10" fontId="13" fillId="0" borderId="94" xfId="0" applyNumberFormat="1" applyFont="1" applyFill="1" applyBorder="1" applyAlignment="1"/>
    <xf numFmtId="38" fontId="13" fillId="0" borderId="95" xfId="0" applyNumberFormat="1" applyFont="1" applyFill="1" applyBorder="1" applyAlignment="1"/>
    <xf numFmtId="38" fontId="13" fillId="0" borderId="87" xfId="0" applyNumberFormat="1" applyFont="1" applyFill="1" applyBorder="1" applyAlignment="1"/>
    <xf numFmtId="182" fontId="13" fillId="0" borderId="26" xfId="1422" applyNumberFormat="1" applyFont="1" applyFill="1" applyBorder="1"/>
    <xf numFmtId="182" fontId="13" fillId="0" borderId="21" xfId="1422" applyNumberFormat="1" applyFont="1" applyFill="1" applyBorder="1"/>
    <xf numFmtId="38" fontId="8" fillId="0" borderId="95" xfId="0" applyNumberFormat="1" applyFont="1" applyFill="1" applyBorder="1" applyAlignment="1"/>
    <xf numFmtId="38" fontId="8" fillId="0" borderId="87" xfId="0" applyNumberFormat="1" applyFont="1" applyFill="1" applyBorder="1" applyAlignment="1"/>
    <xf numFmtId="38" fontId="8" fillId="0" borderId="26" xfId="0" applyNumberFormat="1" applyFont="1" applyFill="1" applyBorder="1" applyAlignment="1"/>
    <xf numFmtId="10" fontId="8" fillId="0" borderId="32" xfId="0" applyNumberFormat="1" applyFont="1" applyFill="1" applyBorder="1" applyAlignment="1"/>
    <xf numFmtId="10" fontId="8" fillId="0" borderId="30" xfId="0" applyNumberFormat="1" applyFont="1" applyFill="1" applyBorder="1" applyAlignment="1"/>
    <xf numFmtId="184" fontId="5" fillId="0" borderId="0" xfId="2122" applyNumberFormat="1" applyFont="1" applyBorder="1" applyAlignment="1">
      <alignment horizontal="right" vertical="center"/>
    </xf>
    <xf numFmtId="38" fontId="39" fillId="0" borderId="0" xfId="0" applyNumberFormat="1" applyFont="1" applyFill="1" applyBorder="1" applyAlignment="1">
      <alignment vertical="center"/>
    </xf>
    <xf numFmtId="38" fontId="217" fillId="4" borderId="0" xfId="2123" applyNumberFormat="1" applyFont="1" applyFill="1" applyAlignment="1" applyProtection="1">
      <alignment horizontal="left" vertical="center" wrapText="1"/>
    </xf>
    <xf numFmtId="38" fontId="209" fillId="0" borderId="0" xfId="0" applyNumberFormat="1" applyFont="1" applyFill="1" applyBorder="1" applyAlignment="1"/>
    <xf numFmtId="38" fontId="5" fillId="0" borderId="0" xfId="0" applyNumberFormat="1" applyFont="1" applyFill="1" applyBorder="1" applyAlignment="1">
      <alignment vertical="center" wrapText="1"/>
    </xf>
    <xf numFmtId="37" fontId="30" fillId="4" borderId="18" xfId="1545" applyNumberFormat="1" applyFont="1" applyFill="1" applyBorder="1" applyAlignment="1">
      <alignment vertical="center" wrapText="1"/>
    </xf>
    <xf numFmtId="41" fontId="30" fillId="0" borderId="13" xfId="0" applyNumberFormat="1" applyFont="1" applyFill="1" applyBorder="1" applyAlignment="1">
      <alignment horizontal="right" vertical="center"/>
    </xf>
    <xf numFmtId="37" fontId="4" fillId="0" borderId="0" xfId="0" applyNumberFormat="1" applyFont="1" applyFill="1" applyBorder="1" applyAlignment="1">
      <alignment horizontal="right"/>
    </xf>
    <xf numFmtId="38" fontId="17" fillId="0" borderId="0" xfId="0" applyNumberFormat="1" applyFont="1" applyBorder="1" applyAlignment="1">
      <alignment vertical="center"/>
    </xf>
    <xf numFmtId="0" fontId="162" fillId="0" borderId="0" xfId="2118" applyFont="1" applyBorder="1"/>
    <xf numFmtId="0" fontId="162" fillId="0" borderId="0" xfId="2118" applyFont="1" applyFill="1" applyBorder="1"/>
    <xf numFmtId="41" fontId="13" fillId="0" borderId="21" xfId="1545" applyNumberFormat="1" applyFont="1" applyBorder="1" applyAlignment="1">
      <alignment vertical="center"/>
    </xf>
    <xf numFmtId="38" fontId="86" fillId="0" borderId="96" xfId="2123" applyNumberFormat="1" applyFont="1" applyFill="1" applyBorder="1" applyAlignment="1" applyProtection="1">
      <alignment horizontal="center" vertical="center"/>
    </xf>
    <xf numFmtId="38" fontId="86" fillId="0" borderId="11" xfId="2123" applyNumberFormat="1" applyFont="1" applyFill="1" applyBorder="1" applyAlignment="1" applyProtection="1">
      <alignment horizontal="center" vertical="center"/>
    </xf>
    <xf numFmtId="38" fontId="158" fillId="0" borderId="11" xfId="2123" applyNumberFormat="1" applyFont="1" applyFill="1" applyBorder="1" applyAlignment="1" applyProtection="1">
      <alignment horizontal="center" vertical="center"/>
    </xf>
    <xf numFmtId="38" fontId="204" fillId="0" borderId="11" xfId="2123" applyNumberFormat="1" applyFont="1" applyFill="1" applyBorder="1" applyAlignment="1" applyProtection="1">
      <alignment horizontal="center" vertical="center"/>
    </xf>
    <xf numFmtId="38" fontId="86" fillId="0" borderId="11" xfId="1635" applyFill="1">
      <alignment horizontal="center" vertical="center"/>
    </xf>
    <xf numFmtId="38" fontId="86" fillId="0" borderId="11" xfId="1635" applyFont="1" applyFill="1">
      <alignment horizontal="center" vertical="center"/>
    </xf>
    <xf numFmtId="38" fontId="158" fillId="0" borderId="11" xfId="1635" applyFont="1" applyFill="1">
      <alignment horizontal="center" vertical="center"/>
    </xf>
    <xf numFmtId="38" fontId="251" fillId="4" borderId="0" xfId="2123" applyNumberFormat="1" applyFont="1" applyFill="1" applyAlignment="1" applyProtection="1">
      <alignment vertical="center"/>
    </xf>
    <xf numFmtId="255" fontId="8" fillId="0" borderId="0" xfId="1633" applyNumberFormat="1" applyFont="1" applyFill="1" applyBorder="1" applyAlignment="1">
      <alignment vertical="center"/>
    </xf>
    <xf numFmtId="255" fontId="13" fillId="0" borderId="0" xfId="1633" applyNumberFormat="1" applyFont="1" applyFill="1" applyBorder="1" applyAlignment="1">
      <alignment vertical="center"/>
    </xf>
    <xf numFmtId="184" fontId="8" fillId="0" borderId="0" xfId="0" applyNumberFormat="1" applyFont="1" applyFill="1" applyBorder="1" applyAlignment="1"/>
    <xf numFmtId="10" fontId="8" fillId="0" borderId="0" xfId="1406" applyNumberFormat="1" applyFont="1" applyFill="1" applyBorder="1" applyAlignment="1"/>
    <xf numFmtId="38" fontId="5" fillId="0" borderId="13" xfId="0" applyNumberFormat="1" applyFont="1" applyFill="1" applyBorder="1" applyAlignment="1">
      <alignment vertical="center" wrapText="1"/>
    </xf>
    <xf numFmtId="37" fontId="30" fillId="0" borderId="13" xfId="0" applyNumberFormat="1" applyFont="1" applyFill="1" applyBorder="1" applyAlignment="1">
      <alignment horizontal="left" vertical="center" wrapText="1"/>
    </xf>
    <xf numFmtId="41" fontId="30" fillId="0" borderId="0" xfId="1545" applyNumberFormat="1" applyFont="1" applyFill="1" applyBorder="1" applyAlignment="1">
      <alignment horizontal="right" vertical="center"/>
    </xf>
    <xf numFmtId="37" fontId="30" fillId="0" borderId="0" xfId="1545" applyNumberFormat="1" applyFont="1" applyFill="1" applyBorder="1" applyAlignment="1">
      <alignment vertical="center" wrapText="1"/>
    </xf>
    <xf numFmtId="255" fontId="191" fillId="0" borderId="23" xfId="0" applyNumberFormat="1" applyFont="1" applyFill="1" applyBorder="1">
      <alignment vertical="center"/>
    </xf>
    <xf numFmtId="41" fontId="6" fillId="0" borderId="0" xfId="1545" applyFont="1" applyBorder="1" applyAlignment="1">
      <alignment horizontal="left" vertical="center"/>
    </xf>
    <xf numFmtId="38" fontId="28" fillId="0" borderId="0" xfId="0" applyNumberFormat="1" applyFont="1" applyFill="1" applyBorder="1" applyAlignment="1">
      <alignment horizontal="center" vertical="center"/>
    </xf>
    <xf numFmtId="38" fontId="30" fillId="0" borderId="0" xfId="0" applyNumberFormat="1" applyFont="1" applyBorder="1" applyAlignment="1">
      <alignment horizontal="left"/>
    </xf>
    <xf numFmtId="38" fontId="5" fillId="44" borderId="0" xfId="0" applyNumberFormat="1" applyFont="1" applyFill="1" applyBorder="1" applyAlignment="1">
      <alignment horizontal="right"/>
    </xf>
    <xf numFmtId="38" fontId="5" fillId="44" borderId="0" xfId="0" applyNumberFormat="1" applyFont="1" applyFill="1" applyBorder="1" applyAlignment="1"/>
    <xf numFmtId="38" fontId="5" fillId="0" borderId="0" xfId="0" applyNumberFormat="1" applyFont="1" applyFill="1" applyBorder="1" applyAlignment="1"/>
    <xf numFmtId="186" fontId="13" fillId="0" borderId="0" xfId="1553" applyNumberFormat="1" applyFont="1" applyFill="1" applyBorder="1"/>
    <xf numFmtId="38" fontId="6" fillId="44" borderId="0" xfId="0" applyNumberFormat="1" applyFont="1" applyFill="1" applyBorder="1" applyAlignment="1"/>
    <xf numFmtId="41" fontId="8" fillId="44" borderId="0" xfId="1553" applyNumberFormat="1" applyFont="1" applyFill="1" applyBorder="1"/>
    <xf numFmtId="38" fontId="6" fillId="44" borderId="0" xfId="0" applyNumberFormat="1" applyFont="1" applyFill="1" applyBorder="1" applyAlignment="1">
      <alignment horizontal="left"/>
    </xf>
    <xf numFmtId="186" fontId="8" fillId="44" borderId="0" xfId="1553" applyNumberFormat="1" applyFont="1" applyFill="1" applyBorder="1" applyAlignment="1">
      <alignment horizontal="center"/>
    </xf>
    <xf numFmtId="38" fontId="5" fillId="12" borderId="0" xfId="0" applyNumberFormat="1" applyFont="1" applyFill="1" applyBorder="1" applyAlignment="1"/>
    <xf numFmtId="41" fontId="13" fillId="4" borderId="0" xfId="1553" applyNumberFormat="1" applyFont="1" applyFill="1" applyBorder="1"/>
    <xf numFmtId="186" fontId="13" fillId="4" borderId="0" xfId="1553" applyNumberFormat="1" applyFont="1" applyFill="1" applyBorder="1"/>
    <xf numFmtId="38" fontId="5" fillId="0" borderId="0" xfId="0" applyNumberFormat="1" applyFont="1" applyFill="1" applyBorder="1" applyAlignment="1">
      <alignment horizontal="right"/>
    </xf>
    <xf numFmtId="184" fontId="13" fillId="0" borderId="0" xfId="0" applyNumberFormat="1" applyFont="1" applyFill="1" applyBorder="1" applyAlignment="1"/>
    <xf numFmtId="38" fontId="35" fillId="0" borderId="0" xfId="0" applyNumberFormat="1" applyFont="1" applyFill="1" applyBorder="1" applyAlignment="1">
      <alignment horizontal="center"/>
    </xf>
    <xf numFmtId="38" fontId="5" fillId="0" borderId="0" xfId="0" applyNumberFormat="1" applyFont="1" applyFill="1" applyBorder="1" applyAlignment="1">
      <alignment horizontal="center"/>
    </xf>
    <xf numFmtId="177" fontId="30" fillId="4" borderId="0" xfId="0" applyNumberFormat="1" applyFont="1" applyFill="1" applyBorder="1" applyAlignment="1"/>
    <xf numFmtId="10" fontId="30" fillId="0" borderId="17" xfId="1406" applyNumberFormat="1" applyFont="1" applyBorder="1" applyAlignment="1"/>
    <xf numFmtId="0" fontId="163" fillId="45" borderId="11" xfId="2121" applyNumberFormat="1" applyFont="1" applyFill="1" applyBorder="1" applyAlignment="1">
      <alignment horizontal="center" vertical="center"/>
    </xf>
    <xf numFmtId="38" fontId="28" fillId="10" borderId="0" xfId="0" applyNumberFormat="1" applyFont="1" applyFill="1" applyBorder="1" applyAlignment="1">
      <alignment horizontal="center" vertical="center"/>
    </xf>
    <xf numFmtId="38" fontId="8" fillId="12" borderId="99" xfId="0" applyNumberFormat="1" applyFont="1" applyFill="1" applyBorder="1" applyAlignment="1">
      <alignment vertical="center"/>
    </xf>
    <xf numFmtId="9" fontId="34" fillId="4" borderId="99" xfId="1407" applyFont="1" applyFill="1" applyBorder="1" applyAlignment="1">
      <alignment vertical="center"/>
    </xf>
    <xf numFmtId="9" fontId="34" fillId="4" borderId="0" xfId="1407" applyFont="1" applyFill="1" applyBorder="1" applyAlignment="1">
      <alignment vertical="center"/>
    </xf>
    <xf numFmtId="9" fontId="34" fillId="4" borderId="136" xfId="1407" applyFont="1" applyFill="1" applyBorder="1" applyAlignment="1">
      <alignment vertical="center"/>
    </xf>
    <xf numFmtId="9" fontId="34" fillId="4" borderId="13" xfId="1407" applyFont="1" applyFill="1" applyBorder="1" applyAlignment="1">
      <alignment vertical="center"/>
    </xf>
    <xf numFmtId="190" fontId="30" fillId="0" borderId="0" xfId="1631" applyNumberFormat="1" applyFont="1" applyFill="1" applyBorder="1" applyAlignment="1">
      <alignment horizontal="right" vertical="center"/>
    </xf>
    <xf numFmtId="191" fontId="34" fillId="0" borderId="0" xfId="1631" applyNumberFormat="1" applyFont="1" applyFill="1" applyBorder="1" applyAlignment="1">
      <alignment horizontal="right" vertical="center"/>
    </xf>
    <xf numFmtId="190" fontId="30" fillId="0" borderId="0" xfId="2122" applyNumberFormat="1" applyFont="1" applyFill="1" applyBorder="1" applyAlignment="1">
      <alignment horizontal="right" vertical="center"/>
    </xf>
    <xf numFmtId="191" fontId="34" fillId="0" borderId="0" xfId="2122" applyNumberFormat="1" applyFont="1" applyFill="1" applyBorder="1" applyAlignment="1">
      <alignment horizontal="right" vertical="center"/>
    </xf>
    <xf numFmtId="190" fontId="30" fillId="0" borderId="0" xfId="1545" applyNumberFormat="1" applyFont="1" applyFill="1" applyBorder="1" applyAlignment="1">
      <alignment horizontal="right" vertical="center"/>
    </xf>
    <xf numFmtId="191" fontId="34" fillId="0" borderId="0" xfId="1545" applyNumberFormat="1" applyFont="1" applyFill="1" applyBorder="1" applyAlignment="1">
      <alignment horizontal="right" vertical="center"/>
    </xf>
    <xf numFmtId="0" fontId="17" fillId="0" borderId="0" xfId="2122" applyFont="1" applyFill="1" applyBorder="1"/>
    <xf numFmtId="0" fontId="10" fillId="0" borderId="0" xfId="2122" applyFont="1" applyFill="1" applyBorder="1"/>
    <xf numFmtId="0" fontId="30" fillId="0" borderId="0" xfId="2122" applyFont="1" applyFill="1" applyBorder="1" applyAlignment="1">
      <alignment horizontal="right" vertical="center" wrapText="1"/>
    </xf>
    <xf numFmtId="0" fontId="10" fillId="0" borderId="0" xfId="2122" applyFont="1" applyFill="1" applyBorder="1" applyAlignment="1">
      <alignment vertical="center"/>
    </xf>
    <xf numFmtId="38" fontId="30" fillId="0" borderId="0" xfId="1632" applyNumberFormat="1" applyFont="1" applyFill="1" applyBorder="1" applyAlignment="1">
      <alignment vertical="center"/>
    </xf>
    <xf numFmtId="0" fontId="17" fillId="0" borderId="0" xfId="2122" applyNumberFormat="1" applyFont="1" applyAlignment="1">
      <alignment vertical="center"/>
    </xf>
    <xf numFmtId="0" fontId="28" fillId="0" borderId="0" xfId="2122" applyFont="1" applyFill="1" applyBorder="1" applyAlignment="1">
      <alignment vertical="center" wrapText="1"/>
    </xf>
    <xf numFmtId="38" fontId="217" fillId="4" borderId="0" xfId="2123" applyNumberFormat="1" applyFont="1" applyFill="1" applyAlignment="1" applyProtection="1"/>
    <xf numFmtId="38" fontId="13" fillId="12" borderId="0" xfId="0" applyNumberFormat="1" applyFont="1" applyFill="1" applyBorder="1" applyAlignment="1">
      <alignment vertical="center"/>
    </xf>
    <xf numFmtId="38" fontId="13" fillId="12" borderId="136" xfId="0" applyNumberFormat="1" applyFont="1" applyFill="1" applyBorder="1" applyAlignment="1">
      <alignment vertical="center"/>
    </xf>
    <xf numFmtId="196" fontId="8" fillId="0" borderId="23" xfId="1553" applyNumberFormat="1" applyFont="1" applyBorder="1" applyAlignment="1">
      <alignment horizontal="right" vertical="center"/>
    </xf>
    <xf numFmtId="196" fontId="8" fillId="0" borderId="23" xfId="1553" applyNumberFormat="1" applyFont="1" applyBorder="1" applyAlignment="1">
      <alignment vertical="center"/>
    </xf>
    <xf numFmtId="38" fontId="253" fillId="0" borderId="0" xfId="2123" applyNumberFormat="1" applyFont="1" applyFill="1" applyBorder="1" applyAlignment="1" applyProtection="1">
      <alignment horizontal="left"/>
    </xf>
    <xf numFmtId="37" fontId="13" fillId="0" borderId="0" xfId="1545" applyNumberFormat="1" applyFont="1" applyFill="1" applyBorder="1" applyAlignment="1">
      <alignment horizontal="right" vertical="center" wrapText="1"/>
    </xf>
    <xf numFmtId="37" fontId="13" fillId="0" borderId="18" xfId="1545" applyNumberFormat="1" applyFont="1" applyFill="1" applyBorder="1" applyAlignment="1">
      <alignment horizontal="right" vertical="center" wrapText="1"/>
    </xf>
    <xf numFmtId="37" fontId="13" fillId="0" borderId="13" xfId="1545" applyNumberFormat="1" applyFont="1" applyFill="1" applyBorder="1" applyAlignment="1">
      <alignment horizontal="right" vertical="center" wrapText="1"/>
    </xf>
    <xf numFmtId="37" fontId="13" fillId="0" borderId="0" xfId="1553" applyNumberFormat="1" applyFont="1" applyFill="1" applyBorder="1" applyAlignment="1">
      <alignment horizontal="right" vertical="center" wrapText="1"/>
    </xf>
    <xf numFmtId="37" fontId="13" fillId="0" borderId="21" xfId="1545" applyNumberFormat="1" applyFont="1" applyFill="1" applyBorder="1" applyAlignment="1">
      <alignment horizontal="right" vertical="center" wrapText="1"/>
    </xf>
    <xf numFmtId="37" fontId="13" fillId="0" borderId="13" xfId="1553" applyNumberFormat="1" applyFont="1" applyFill="1" applyBorder="1" applyAlignment="1">
      <alignment horizontal="right" vertical="center" wrapText="1"/>
    </xf>
    <xf numFmtId="37" fontId="13" fillId="0" borderId="0" xfId="0" applyNumberFormat="1" applyFont="1" applyFill="1" applyBorder="1" applyAlignment="1">
      <alignment horizontal="right" vertical="center"/>
    </xf>
    <xf numFmtId="37" fontId="13" fillId="0" borderId="13" xfId="1545" applyNumberFormat="1" applyFont="1" applyFill="1" applyBorder="1" applyAlignment="1">
      <alignment vertical="center"/>
    </xf>
    <xf numFmtId="37" fontId="13" fillId="0" borderId="0" xfId="0" applyNumberFormat="1" applyFont="1" applyFill="1" applyBorder="1" applyAlignment="1">
      <alignment vertical="center"/>
    </xf>
    <xf numFmtId="37" fontId="13" fillId="0" borderId="18" xfId="0" applyNumberFormat="1" applyFont="1" applyFill="1" applyBorder="1" applyAlignment="1">
      <alignment vertical="center"/>
    </xf>
    <xf numFmtId="37" fontId="13" fillId="0" borderId="13" xfId="0" applyNumberFormat="1" applyFont="1" applyFill="1" applyBorder="1" applyAlignment="1">
      <alignment vertical="center"/>
    </xf>
    <xf numFmtId="37" fontId="13" fillId="0" borderId="18" xfId="1545" applyNumberFormat="1" applyFont="1" applyFill="1" applyBorder="1" applyAlignment="1">
      <alignment vertical="center"/>
    </xf>
    <xf numFmtId="37" fontId="13" fillId="0" borderId="0" xfId="1553" applyNumberFormat="1" applyFont="1" applyFill="1" applyBorder="1" applyAlignment="1">
      <alignment vertical="center"/>
    </xf>
    <xf numFmtId="41" fontId="13" fillId="0" borderId="18" xfId="0" applyNumberFormat="1" applyFont="1" applyFill="1" applyBorder="1" applyAlignment="1">
      <alignment vertical="center"/>
    </xf>
    <xf numFmtId="37" fontId="8" fillId="0" borderId="21" xfId="1545" applyNumberFormat="1" applyFont="1" applyFill="1" applyBorder="1" applyAlignment="1">
      <alignment vertical="center"/>
    </xf>
    <xf numFmtId="37" fontId="13" fillId="0" borderId="21" xfId="0" applyNumberFormat="1" applyFont="1" applyFill="1" applyBorder="1" applyAlignment="1">
      <alignment vertical="center"/>
    </xf>
    <xf numFmtId="37" fontId="13" fillId="0" borderId="21" xfId="0" applyNumberFormat="1" applyFont="1" applyFill="1" applyBorder="1" applyAlignment="1">
      <alignment horizontal="right" vertical="center" wrapText="1"/>
    </xf>
    <xf numFmtId="190" fontId="252" fillId="0" borderId="13" xfId="0" applyNumberFormat="1" applyFont="1" applyFill="1" applyBorder="1" applyAlignment="1">
      <alignment horizontal="right" vertical="center" wrapText="1"/>
    </xf>
    <xf numFmtId="37" fontId="13" fillId="0" borderId="13" xfId="0" applyNumberFormat="1" applyFont="1" applyFill="1" applyBorder="1" applyAlignment="1">
      <alignment horizontal="right" vertical="center" wrapText="1"/>
    </xf>
    <xf numFmtId="37" fontId="8" fillId="0" borderId="18" xfId="0" applyNumberFormat="1" applyFont="1" applyFill="1" applyBorder="1" applyAlignment="1">
      <alignment horizontal="right" vertical="center" wrapText="1"/>
    </xf>
    <xf numFmtId="37" fontId="8" fillId="0" borderId="0" xfId="0" applyNumberFormat="1" applyFont="1" applyFill="1" applyBorder="1" applyAlignment="1">
      <alignment horizontal="right" vertical="center" wrapText="1"/>
    </xf>
    <xf numFmtId="0" fontId="13" fillId="12" borderId="137" xfId="2122" applyFont="1" applyFill="1" applyBorder="1" applyAlignment="1">
      <alignment horizontal="right" vertical="center"/>
    </xf>
    <xf numFmtId="0" fontId="13" fillId="12" borderId="138" xfId="2122" applyFont="1" applyFill="1" applyBorder="1" applyAlignment="1">
      <alignment horizontal="right" vertical="center"/>
    </xf>
    <xf numFmtId="10" fontId="30" fillId="0" borderId="99" xfId="1407" applyNumberFormat="1" applyFont="1" applyFill="1" applyBorder="1" applyAlignment="1">
      <alignment vertical="center"/>
    </xf>
    <xf numFmtId="41" fontId="30" fillId="0" borderId="0" xfId="1548" applyNumberFormat="1" applyFont="1" applyFill="1" applyBorder="1" applyAlignment="1">
      <alignment vertical="center"/>
    </xf>
    <xf numFmtId="41" fontId="30" fillId="0" borderId="136" xfId="1548" applyNumberFormat="1" applyFont="1" applyFill="1" applyBorder="1" applyAlignment="1">
      <alignment vertical="center"/>
    </xf>
    <xf numFmtId="41" fontId="30" fillId="0" borderId="13" xfId="1548" applyNumberFormat="1" applyFont="1" applyFill="1" applyBorder="1" applyAlignment="1">
      <alignment vertical="center"/>
    </xf>
    <xf numFmtId="41" fontId="30" fillId="0" borderId="23" xfId="1548" applyFont="1" applyFill="1" applyBorder="1" applyAlignment="1">
      <alignment vertical="center"/>
    </xf>
    <xf numFmtId="38" fontId="171" fillId="12" borderId="84" xfId="0" applyNumberFormat="1" applyFont="1" applyFill="1" applyBorder="1" applyAlignment="1">
      <alignment horizontal="left" indent="2"/>
    </xf>
    <xf numFmtId="38" fontId="171" fillId="12" borderId="85" xfId="0" applyNumberFormat="1" applyFont="1" applyFill="1" applyBorder="1" applyAlignment="1">
      <alignment horizontal="left" indent="2"/>
    </xf>
    <xf numFmtId="38" fontId="171" fillId="12" borderId="86" xfId="0" applyNumberFormat="1" applyFont="1" applyFill="1" applyBorder="1" applyAlignment="1">
      <alignment horizontal="left" indent="2"/>
    </xf>
    <xf numFmtId="196" fontId="8" fillId="0" borderId="21" xfId="1545" applyNumberFormat="1" applyFont="1" applyFill="1" applyBorder="1" applyAlignment="1">
      <alignment horizontal="right" vertical="center"/>
    </xf>
    <xf numFmtId="196" fontId="8" fillId="44" borderId="21" xfId="1545" applyNumberFormat="1" applyFont="1" applyFill="1" applyBorder="1" applyAlignment="1">
      <alignment horizontal="right" vertical="center"/>
    </xf>
    <xf numFmtId="196" fontId="13" fillId="0" borderId="21" xfId="1545" applyNumberFormat="1" applyFont="1" applyFill="1" applyBorder="1" applyAlignment="1">
      <alignment horizontal="right" vertical="center"/>
    </xf>
    <xf numFmtId="196" fontId="8" fillId="0" borderId="100" xfId="1545" applyNumberFormat="1" applyFont="1" applyFill="1" applyBorder="1" applyAlignment="1">
      <alignment horizontal="right" vertical="center"/>
    </xf>
    <xf numFmtId="38" fontId="10" fillId="4" borderId="0" xfId="2121" applyFont="1" applyBorder="1" applyAlignment="1">
      <alignment horizontal="left" indent="5"/>
    </xf>
    <xf numFmtId="38" fontId="39" fillId="0" borderId="0" xfId="0" applyNumberFormat="1" applyFont="1" applyFill="1" applyBorder="1" applyAlignment="1">
      <alignment horizontal="right"/>
    </xf>
    <xf numFmtId="38" fontId="213" fillId="12" borderId="21" xfId="0" applyNumberFormat="1" applyFont="1" applyFill="1" applyBorder="1" applyAlignment="1">
      <alignment vertical="center"/>
    </xf>
    <xf numFmtId="38" fontId="43" fillId="0" borderId="17" xfId="0" applyNumberFormat="1" applyFont="1" applyFill="1" applyBorder="1" applyAlignment="1"/>
    <xf numFmtId="38" fontId="13" fillId="0" borderId="139" xfId="1632" applyNumberFormat="1" applyFont="1" applyFill="1" applyBorder="1" applyAlignment="1">
      <alignment vertical="center"/>
    </xf>
    <xf numFmtId="187" fontId="13" fillId="0" borderId="140" xfId="2122" applyNumberFormat="1" applyFont="1" applyFill="1" applyBorder="1" applyAlignment="1">
      <alignment vertical="center"/>
    </xf>
    <xf numFmtId="38" fontId="8" fillId="0" borderId="139" xfId="1632" applyNumberFormat="1" applyFont="1" applyFill="1" applyBorder="1" applyAlignment="1">
      <alignment vertical="center"/>
    </xf>
    <xf numFmtId="2" fontId="13" fillId="0" borderId="140" xfId="2122" applyNumberFormat="1" applyFont="1" applyFill="1" applyBorder="1" applyAlignment="1">
      <alignment vertical="center"/>
    </xf>
    <xf numFmtId="0" fontId="77" fillId="0" borderId="140" xfId="2122" applyFont="1" applyFill="1" applyBorder="1" applyAlignment="1">
      <alignment vertical="center"/>
    </xf>
    <xf numFmtId="38" fontId="20" fillId="10" borderId="101" xfId="0" applyNumberFormat="1" applyFont="1" applyFill="1" applyBorder="1" applyAlignment="1">
      <alignment horizontal="center" vertical="center"/>
    </xf>
    <xf numFmtId="196" fontId="8" fillId="0" borderId="44" xfId="1545" applyNumberFormat="1" applyFont="1" applyFill="1" applyBorder="1" applyAlignment="1">
      <alignment horizontal="right" vertical="center"/>
    </xf>
    <xf numFmtId="196" fontId="13" fillId="0" borderId="44" xfId="1545" applyNumberFormat="1" applyFont="1" applyFill="1" applyBorder="1" applyAlignment="1">
      <alignment horizontal="right" vertical="center"/>
    </xf>
    <xf numFmtId="196" fontId="8" fillId="0" borderId="0" xfId="0" applyNumberFormat="1" applyFont="1" applyFill="1" applyBorder="1" applyAlignment="1">
      <alignment horizontal="center" vertical="center"/>
    </xf>
    <xf numFmtId="38" fontId="35" fillId="0" borderId="0" xfId="0" applyNumberFormat="1" applyFont="1" applyFill="1" applyBorder="1" applyAlignment="1">
      <alignment vertical="center"/>
    </xf>
    <xf numFmtId="38" fontId="44" fillId="10" borderId="0" xfId="0" applyNumberFormat="1" applyFont="1" applyFill="1" applyBorder="1" applyAlignment="1">
      <alignment horizontal="center" vertical="center" wrapText="1"/>
    </xf>
    <xf numFmtId="10" fontId="30" fillId="4" borderId="0" xfId="1406" applyNumberFormat="1" applyFont="1" applyFill="1" applyBorder="1" applyAlignment="1"/>
    <xf numFmtId="10" fontId="30" fillId="4" borderId="0" xfId="1406" applyNumberFormat="1" applyFont="1" applyFill="1" applyAlignment="1"/>
    <xf numFmtId="41" fontId="39" fillId="0" borderId="0" xfId="1545" quotePrefix="1" applyFont="1" applyBorder="1" applyAlignment="1">
      <alignment horizontal="left"/>
    </xf>
    <xf numFmtId="0" fontId="196" fillId="0" borderId="16" xfId="2123" applyNumberFormat="1" applyFont="1" applyFill="1" applyBorder="1" applyAlignment="1" applyProtection="1">
      <alignment horizontal="left" vertical="center"/>
    </xf>
    <xf numFmtId="38" fontId="198" fillId="0" borderId="0" xfId="0" applyNumberFormat="1" applyFont="1" applyBorder="1" applyAlignment="1">
      <alignment horizontal="left" vertical="center"/>
    </xf>
    <xf numFmtId="38" fontId="20" fillId="10" borderId="0" xfId="0" applyNumberFormat="1" applyFont="1" applyFill="1" applyBorder="1" applyAlignment="1">
      <alignment horizontal="center" vertical="center"/>
    </xf>
    <xf numFmtId="0" fontId="21" fillId="4" borderId="0" xfId="2123" applyNumberFormat="1" applyFont="1" applyFill="1" applyBorder="1" applyAlignment="1" applyProtection="1">
      <alignment horizontal="left" vertical="center"/>
    </xf>
    <xf numFmtId="191" fontId="34" fillId="0" borderId="31" xfId="1545" applyNumberFormat="1" applyFont="1" applyFill="1" applyBorder="1" applyAlignment="1">
      <alignment horizontal="right" vertical="center"/>
    </xf>
    <xf numFmtId="0" fontId="196" fillId="0" borderId="16" xfId="2123" applyNumberFormat="1" applyFont="1" applyFill="1" applyBorder="1" applyAlignment="1" applyProtection="1">
      <alignment horizontal="left" vertical="center"/>
    </xf>
    <xf numFmtId="38" fontId="198" fillId="0" borderId="0" xfId="0" applyNumberFormat="1" applyFont="1" applyBorder="1" applyAlignment="1">
      <alignment horizontal="left" vertical="center"/>
    </xf>
    <xf numFmtId="38" fontId="20" fillId="10" borderId="0" xfId="0" applyNumberFormat="1" applyFont="1" applyFill="1" applyBorder="1" applyAlignment="1">
      <alignment horizontal="center" vertical="center"/>
    </xf>
    <xf numFmtId="38" fontId="35" fillId="12" borderId="21" xfId="0" applyNumberFormat="1" applyFont="1" applyFill="1" applyBorder="1" applyAlignment="1">
      <alignment vertical="center"/>
    </xf>
    <xf numFmtId="0" fontId="21" fillId="4" borderId="0" xfId="2123" applyNumberFormat="1" applyFont="1" applyFill="1" applyBorder="1" applyAlignment="1" applyProtection="1">
      <alignment horizontal="left" vertical="center"/>
    </xf>
    <xf numFmtId="38" fontId="13" fillId="0" borderId="0" xfId="0" applyNumberFormat="1" applyFont="1" applyFill="1" applyBorder="1" applyAlignment="1">
      <alignment horizontal="left" vertical="center"/>
    </xf>
    <xf numFmtId="38" fontId="255" fillId="4" borderId="21" xfId="0" applyNumberFormat="1" applyFont="1" applyFill="1" applyBorder="1" applyAlignment="1"/>
    <xf numFmtId="41" fontId="254" fillId="0" borderId="0" xfId="1545" applyFont="1" applyBorder="1" applyAlignment="1">
      <alignment vertical="center"/>
    </xf>
    <xf numFmtId="41" fontId="254" fillId="0" borderId="18" xfId="1545" applyFont="1" applyBorder="1" applyAlignment="1">
      <alignment vertical="center"/>
    </xf>
    <xf numFmtId="181" fontId="254" fillId="0" borderId="0" xfId="1545" applyNumberFormat="1" applyFont="1" applyBorder="1" applyAlignment="1">
      <alignment vertical="center"/>
    </xf>
    <xf numFmtId="38" fontId="255" fillId="0" borderId="21" xfId="0" applyNumberFormat="1" applyFont="1" applyBorder="1" applyAlignment="1"/>
    <xf numFmtId="38" fontId="255" fillId="4" borderId="13" xfId="0" applyNumberFormat="1" applyFont="1" applyFill="1" applyBorder="1" applyAlignment="1"/>
    <xf numFmtId="38" fontId="255" fillId="0" borderId="23" xfId="0" applyNumberFormat="1" applyFont="1" applyBorder="1" applyAlignment="1"/>
    <xf numFmtId="182" fontId="30" fillId="4" borderId="0" xfId="1406" applyNumberFormat="1" applyFont="1" applyFill="1" applyBorder="1" applyAlignment="1">
      <alignment horizontal="right"/>
    </xf>
    <xf numFmtId="0" fontId="13" fillId="12" borderId="54" xfId="2122" applyFont="1" applyFill="1" applyBorder="1" applyAlignment="1">
      <alignment horizontal="right" vertical="center"/>
    </xf>
    <xf numFmtId="0" fontId="13" fillId="12" borderId="53" xfId="2122" applyFont="1" applyFill="1" applyBorder="1" applyAlignment="1">
      <alignment horizontal="right" vertical="center"/>
    </xf>
    <xf numFmtId="0" fontId="13" fillId="12" borderId="18" xfId="2122" applyFont="1" applyFill="1" applyBorder="1" applyAlignment="1">
      <alignment horizontal="right" vertical="center"/>
    </xf>
    <xf numFmtId="38" fontId="202" fillId="0" borderId="146" xfId="0" applyNumberFormat="1" applyFont="1" applyFill="1" applyBorder="1" applyAlignment="1">
      <alignment vertical="top"/>
    </xf>
    <xf numFmtId="187" fontId="13" fillId="0" borderId="44" xfId="2122" applyNumberFormat="1" applyFont="1" applyFill="1" applyBorder="1" applyAlignment="1">
      <alignment vertical="center"/>
    </xf>
    <xf numFmtId="38" fontId="78" fillId="0" borderId="41" xfId="2122" applyNumberFormat="1" applyFont="1" applyFill="1" applyBorder="1" applyAlignment="1">
      <alignment vertical="center"/>
    </xf>
    <xf numFmtId="38" fontId="78" fillId="0" borderId="42" xfId="2122" applyNumberFormat="1" applyFont="1" applyFill="1" applyBorder="1" applyAlignment="1">
      <alignment vertical="center"/>
    </xf>
    <xf numFmtId="187" fontId="13" fillId="0" borderId="48" xfId="2122" applyNumberFormat="1" applyFont="1" applyFill="1" applyBorder="1" applyAlignment="1">
      <alignment vertical="center"/>
    </xf>
    <xf numFmtId="41" fontId="55" fillId="0" borderId="0" xfId="1545" applyFont="1" applyFill="1" applyBorder="1" applyAlignment="1"/>
    <xf numFmtId="38" fontId="255" fillId="0" borderId="21" xfId="1632" applyNumberFormat="1" applyFont="1" applyBorder="1" applyAlignment="1">
      <alignment vertical="center"/>
    </xf>
    <xf numFmtId="184" fontId="255" fillId="0" borderId="21" xfId="2122" applyNumberFormat="1" applyFont="1" applyBorder="1" applyAlignment="1">
      <alignment vertical="center"/>
    </xf>
    <xf numFmtId="184" fontId="255" fillId="0" borderId="66" xfId="2122" applyNumberFormat="1" applyFont="1" applyBorder="1" applyAlignment="1">
      <alignment vertical="center"/>
    </xf>
    <xf numFmtId="38" fontId="255" fillId="0" borderId="21" xfId="2122" applyNumberFormat="1" applyFont="1" applyBorder="1" applyAlignment="1">
      <alignment vertical="center"/>
    </xf>
    <xf numFmtId="38" fontId="255" fillId="0" borderId="66" xfId="2122" applyNumberFormat="1" applyFont="1" applyBorder="1" applyAlignment="1">
      <alignment vertical="center"/>
    </xf>
    <xf numFmtId="184" fontId="255" fillId="0" borderId="21" xfId="1632" applyNumberFormat="1" applyFont="1" applyBorder="1" applyAlignment="1">
      <alignment vertical="center"/>
    </xf>
    <xf numFmtId="255" fontId="255" fillId="44" borderId="21" xfId="1633" applyNumberFormat="1" applyFont="1" applyFill="1" applyBorder="1" applyAlignment="1">
      <alignment vertical="center"/>
    </xf>
    <xf numFmtId="255" fontId="255" fillId="44" borderId="13" xfId="1633" applyNumberFormat="1" applyFont="1" applyFill="1" applyBorder="1" applyAlignment="1">
      <alignment vertical="center"/>
    </xf>
    <xf numFmtId="255" fontId="254" fillId="0" borderId="0" xfId="1633" applyNumberFormat="1" applyFont="1" applyFill="1" applyBorder="1" applyAlignment="1">
      <alignment vertical="center"/>
    </xf>
    <xf numFmtId="38" fontId="255" fillId="4" borderId="0" xfId="1633" applyNumberFormat="1" applyFont="1" applyFill="1" applyBorder="1" applyAlignment="1">
      <alignment vertical="center"/>
    </xf>
    <xf numFmtId="38" fontId="255" fillId="4" borderId="18" xfId="1633" applyNumberFormat="1" applyFont="1" applyFill="1" applyBorder="1" applyAlignment="1">
      <alignment vertical="center"/>
    </xf>
    <xf numFmtId="38" fontId="13" fillId="0" borderId="0" xfId="0" applyNumberFormat="1" applyFont="1" applyFill="1" applyBorder="1" applyAlignment="1">
      <alignment vertical="center"/>
    </xf>
    <xf numFmtId="37" fontId="256" fillId="0" borderId="0" xfId="1545" applyNumberFormat="1" applyFont="1" applyBorder="1" applyAlignment="1">
      <alignment horizontal="right" vertical="center" wrapText="1"/>
    </xf>
    <xf numFmtId="37" fontId="256" fillId="0" borderId="0" xfId="0" applyNumberFormat="1" applyFont="1" applyBorder="1" applyAlignment="1">
      <alignment horizontal="left" vertical="center" wrapText="1"/>
    </xf>
    <xf numFmtId="37" fontId="256" fillId="0" borderId="0" xfId="0" applyNumberFormat="1" applyFont="1" applyBorder="1" applyAlignment="1">
      <alignment horizontal="left" vertical="top" wrapText="1"/>
    </xf>
    <xf numFmtId="196" fontId="13" fillId="44" borderId="21" xfId="1545" applyNumberFormat="1" applyFont="1" applyFill="1" applyBorder="1" applyAlignment="1">
      <alignment horizontal="right" vertical="center"/>
    </xf>
    <xf numFmtId="41" fontId="8" fillId="0" borderId="0" xfId="1545" applyFont="1" applyBorder="1" applyAlignment="1">
      <alignment vertical="center"/>
    </xf>
    <xf numFmtId="38" fontId="13" fillId="0" borderId="21" xfId="1632" applyNumberFormat="1" applyFont="1" applyBorder="1" applyAlignment="1">
      <alignment vertical="center"/>
    </xf>
    <xf numFmtId="38" fontId="8" fillId="0" borderId="21" xfId="1632" applyNumberFormat="1" applyFont="1" applyBorder="1" applyAlignment="1">
      <alignment vertical="center"/>
    </xf>
    <xf numFmtId="38" fontId="8" fillId="0" borderId="65" xfId="1632" applyNumberFormat="1" applyFont="1" applyBorder="1" applyAlignment="1">
      <alignment vertical="center"/>
    </xf>
    <xf numFmtId="38" fontId="13" fillId="0" borderId="65" xfId="1632" applyNumberFormat="1" applyFont="1" applyBorder="1" applyAlignment="1">
      <alignment vertical="center"/>
    </xf>
    <xf numFmtId="41" fontId="13" fillId="0" borderId="65" xfId="1545" applyFont="1" applyBorder="1" applyAlignment="1">
      <alignment vertical="center"/>
    </xf>
    <xf numFmtId="41" fontId="8" fillId="0" borderId="65" xfId="1545" applyFont="1" applyBorder="1" applyAlignment="1">
      <alignment vertical="center"/>
    </xf>
    <xf numFmtId="9" fontId="34" fillId="4" borderId="23" xfId="1406" applyFont="1" applyFill="1" applyBorder="1" applyAlignment="1">
      <alignment vertical="center"/>
    </xf>
    <xf numFmtId="38" fontId="34" fillId="4" borderId="23" xfId="0" applyNumberFormat="1" applyFont="1" applyFill="1" applyBorder="1" applyAlignment="1">
      <alignment vertical="center"/>
    </xf>
    <xf numFmtId="182" fontId="34" fillId="4" borderId="23" xfId="1406" applyNumberFormat="1" applyFont="1" applyFill="1" applyBorder="1" applyAlignment="1">
      <alignment horizontal="right" vertical="center"/>
    </xf>
    <xf numFmtId="185" fontId="34" fillId="4" borderId="23" xfId="1406" applyNumberFormat="1" applyFont="1" applyFill="1" applyBorder="1" applyAlignment="1">
      <alignment horizontal="left" vertical="center"/>
    </xf>
    <xf numFmtId="255" fontId="260" fillId="44" borderId="27" xfId="0" applyNumberFormat="1" applyFont="1" applyFill="1" applyBorder="1" applyAlignment="1">
      <alignment horizontal="right" vertical="center"/>
    </xf>
    <xf numFmtId="9" fontId="259" fillId="44" borderId="37" xfId="1422" applyFont="1" applyFill="1" applyBorder="1" applyAlignment="1">
      <alignment horizontal="center" vertical="center"/>
    </xf>
    <xf numFmtId="9" fontId="259" fillId="44" borderId="21" xfId="1422" applyFont="1" applyFill="1" applyBorder="1" applyAlignment="1">
      <alignment horizontal="center" vertical="center"/>
    </xf>
    <xf numFmtId="9" fontId="260" fillId="44" borderId="23" xfId="1422" applyFont="1" applyFill="1" applyBorder="1" applyAlignment="1">
      <alignment horizontal="center" vertical="center"/>
    </xf>
    <xf numFmtId="38" fontId="261" fillId="0" borderId="0" xfId="0" applyNumberFormat="1" applyFont="1" applyFill="1" applyBorder="1" applyAlignment="1"/>
    <xf numFmtId="255" fontId="259" fillId="44" borderId="37" xfId="0" applyNumberFormat="1" applyFont="1" applyFill="1" applyBorder="1">
      <alignment vertical="center"/>
    </xf>
    <xf numFmtId="255" fontId="259" fillId="44" borderId="21" xfId="0" applyNumberFormat="1" applyFont="1" applyFill="1" applyBorder="1">
      <alignment vertical="center"/>
    </xf>
    <xf numFmtId="255" fontId="259" fillId="44" borderId="23" xfId="0" applyNumberFormat="1" applyFont="1" applyFill="1" applyBorder="1">
      <alignment vertical="center"/>
    </xf>
    <xf numFmtId="182" fontId="260" fillId="44" borderId="37" xfId="1422" applyNumberFormat="1" applyFont="1" applyFill="1" applyBorder="1" applyAlignment="1">
      <alignment horizontal="center" vertical="center"/>
    </xf>
    <xf numFmtId="182" fontId="260" fillId="44" borderId="21" xfId="1422" applyNumberFormat="1" applyFont="1" applyFill="1" applyBorder="1" applyAlignment="1">
      <alignment horizontal="center" vertical="center"/>
    </xf>
    <xf numFmtId="182" fontId="260" fillId="44" borderId="23" xfId="1422" applyNumberFormat="1" applyFont="1" applyFill="1" applyBorder="1" applyAlignment="1">
      <alignment horizontal="center" vertical="center"/>
    </xf>
    <xf numFmtId="38" fontId="252" fillId="44" borderId="89" xfId="0" applyNumberFormat="1" applyFont="1" applyFill="1" applyBorder="1" applyAlignment="1"/>
    <xf numFmtId="182" fontId="252" fillId="44" borderId="25" xfId="1422" applyNumberFormat="1" applyFont="1" applyFill="1" applyBorder="1"/>
    <xf numFmtId="182" fontId="252" fillId="44" borderId="18" xfId="1422" applyNumberFormat="1" applyFont="1" applyFill="1" applyBorder="1"/>
    <xf numFmtId="38" fontId="252" fillId="44" borderId="26" xfId="0" applyNumberFormat="1" applyFont="1" applyFill="1" applyBorder="1" applyAlignment="1"/>
    <xf numFmtId="38" fontId="252" fillId="44" borderId="21" xfId="0" applyNumberFormat="1" applyFont="1" applyFill="1" applyBorder="1" applyAlignment="1"/>
    <xf numFmtId="38" fontId="252" fillId="44" borderId="87" xfId="0" applyNumberFormat="1" applyFont="1" applyFill="1" applyBorder="1" applyAlignment="1"/>
    <xf numFmtId="38" fontId="252" fillId="44" borderId="95" xfId="0" applyNumberFormat="1" applyFont="1" applyFill="1" applyBorder="1" applyAlignment="1"/>
    <xf numFmtId="10" fontId="252" fillId="44" borderId="93" xfId="0" applyNumberFormat="1" applyFont="1" applyFill="1" applyBorder="1" applyAlignment="1"/>
    <xf numFmtId="10" fontId="252" fillId="44" borderId="94" xfId="0" applyNumberFormat="1" applyFont="1" applyFill="1" applyBorder="1" applyAlignment="1"/>
    <xf numFmtId="182" fontId="252" fillId="44" borderId="26" xfId="1422" applyNumberFormat="1" applyFont="1" applyFill="1" applyBorder="1"/>
    <xf numFmtId="182" fontId="252" fillId="44" borderId="21" xfId="1422" applyNumberFormat="1" applyFont="1" applyFill="1" applyBorder="1"/>
    <xf numFmtId="38" fontId="262" fillId="44" borderId="95" xfId="0" applyNumberFormat="1" applyFont="1" applyFill="1" applyBorder="1" applyAlignment="1"/>
    <xf numFmtId="38" fontId="262" fillId="44" borderId="26" xfId="0" applyNumberFormat="1" applyFont="1" applyFill="1" applyBorder="1" applyAlignment="1"/>
    <xf numFmtId="10" fontId="262" fillId="44" borderId="32" xfId="0" applyNumberFormat="1" applyFont="1" applyFill="1" applyBorder="1" applyAlignment="1"/>
    <xf numFmtId="10" fontId="262" fillId="44" borderId="30" xfId="0" applyNumberFormat="1" applyFont="1" applyFill="1" applyBorder="1" applyAlignment="1"/>
    <xf numFmtId="177" fontId="252" fillId="0" borderId="21" xfId="0" applyNumberFormat="1" applyFont="1" applyBorder="1" applyAlignment="1">
      <alignment vertical="center"/>
    </xf>
    <xf numFmtId="177" fontId="252" fillId="0" borderId="13" xfId="0" applyNumberFormat="1" applyFont="1" applyBorder="1" applyAlignment="1">
      <alignment vertical="center"/>
    </xf>
    <xf numFmtId="38" fontId="262" fillId="0" borderId="23" xfId="0" applyNumberFormat="1" applyFont="1" applyBorder="1" applyAlignment="1">
      <alignment vertical="center"/>
    </xf>
    <xf numFmtId="177" fontId="262" fillId="0" borderId="23" xfId="0" applyNumberFormat="1" applyFont="1" applyBorder="1" applyAlignment="1">
      <alignment vertical="center"/>
    </xf>
    <xf numFmtId="38" fontId="75" fillId="0" borderId="0" xfId="0" applyNumberFormat="1" applyFont="1" applyFill="1" applyBorder="1" applyAlignment="1">
      <alignment vertical="center"/>
    </xf>
    <xf numFmtId="40" fontId="4" fillId="0" borderId="0" xfId="0" applyNumberFormat="1" applyFont="1" applyFill="1" applyBorder="1" applyAlignment="1">
      <alignment vertical="center"/>
    </xf>
    <xf numFmtId="187" fontId="254" fillId="0" borderId="0" xfId="2122" applyNumberFormat="1" applyFont="1" applyBorder="1" applyAlignment="1">
      <alignment vertical="center"/>
    </xf>
    <xf numFmtId="10" fontId="13" fillId="0" borderId="0" xfId="1406" applyNumberFormat="1" applyFont="1" applyBorder="1" applyAlignment="1"/>
    <xf numFmtId="38" fontId="8" fillId="4" borderId="43" xfId="0" applyNumberFormat="1" applyFont="1" applyFill="1" applyBorder="1" applyAlignment="1"/>
    <xf numFmtId="186" fontId="8" fillId="4" borderId="21" xfId="1545" applyNumberFormat="1" applyFont="1" applyFill="1" applyBorder="1" applyAlignment="1"/>
    <xf numFmtId="186" fontId="8" fillId="4" borderId="44" xfId="1545" applyNumberFormat="1" applyFont="1" applyFill="1" applyBorder="1" applyAlignment="1"/>
    <xf numFmtId="184" fontId="8" fillId="4" borderId="21" xfId="0" applyNumberFormat="1" applyFont="1" applyFill="1" applyBorder="1" applyAlignment="1"/>
    <xf numFmtId="38" fontId="8" fillId="4" borderId="45" xfId="0" applyNumberFormat="1" applyFont="1" applyFill="1" applyBorder="1" applyAlignment="1"/>
    <xf numFmtId="186" fontId="13" fillId="4" borderId="21" xfId="1545" applyNumberFormat="1" applyFont="1" applyFill="1" applyBorder="1" applyAlignment="1"/>
    <xf numFmtId="186" fontId="13" fillId="4" borderId="44" xfId="1545" applyNumberFormat="1" applyFont="1" applyFill="1" applyBorder="1" applyAlignment="1"/>
    <xf numFmtId="184" fontId="13" fillId="4" borderId="21" xfId="0" applyNumberFormat="1" applyFont="1" applyFill="1" applyBorder="1" applyAlignment="1"/>
    <xf numFmtId="38" fontId="13" fillId="4" borderId="45" xfId="0" applyNumberFormat="1" applyFont="1" applyFill="1" applyBorder="1" applyAlignment="1"/>
    <xf numFmtId="195" fontId="13" fillId="4" borderId="44" xfId="1545" applyNumberFormat="1" applyFont="1" applyFill="1" applyBorder="1" applyAlignment="1"/>
    <xf numFmtId="186" fontId="13" fillId="4" borderId="46" xfId="1545" applyNumberFormat="1" applyFont="1" applyFill="1" applyBorder="1" applyAlignment="1"/>
    <xf numFmtId="186" fontId="13" fillId="4" borderId="47" xfId="1545" applyNumberFormat="1" applyFont="1" applyFill="1" applyBorder="1" applyAlignment="1"/>
    <xf numFmtId="184" fontId="13" fillId="4" borderId="48" xfId="0" applyNumberFormat="1" applyFont="1" applyFill="1" applyBorder="1" applyAlignment="1"/>
    <xf numFmtId="38" fontId="13" fillId="4" borderId="49" xfId="0" applyNumberFormat="1" applyFont="1" applyFill="1" applyBorder="1" applyAlignment="1"/>
    <xf numFmtId="184" fontId="8" fillId="4" borderId="49" xfId="0" applyNumberFormat="1" applyFont="1" applyFill="1" applyBorder="1" applyAlignment="1"/>
    <xf numFmtId="182" fontId="8" fillId="4" borderId="21" xfId="0" applyNumberFormat="1" applyFont="1" applyFill="1" applyBorder="1" applyAlignment="1"/>
    <xf numFmtId="38" fontId="8" fillId="4" borderId="21" xfId="0" applyNumberFormat="1" applyFont="1" applyFill="1" applyBorder="1" applyAlignment="1">
      <alignment horizontal="right"/>
    </xf>
    <xf numFmtId="38" fontId="13" fillId="4" borderId="21" xfId="0" applyNumberFormat="1" applyFont="1" applyFill="1" applyBorder="1" applyAlignment="1">
      <alignment horizontal="right"/>
    </xf>
    <xf numFmtId="182" fontId="8" fillId="4" borderId="21" xfId="1406" applyNumberFormat="1" applyFont="1" applyFill="1" applyBorder="1" applyAlignment="1"/>
    <xf numFmtId="41" fontId="8" fillId="4" borderId="21" xfId="1545" applyFont="1" applyFill="1" applyBorder="1" applyAlignment="1">
      <alignment horizontal="right"/>
    </xf>
    <xf numFmtId="182" fontId="13" fillId="4" borderId="23" xfId="1406" applyNumberFormat="1" applyFont="1" applyFill="1" applyBorder="1" applyAlignment="1"/>
    <xf numFmtId="38" fontId="8" fillId="0" borderId="21" xfId="0" applyNumberFormat="1" applyFont="1" applyFill="1" applyBorder="1" applyAlignment="1">
      <alignment horizontal="right"/>
    </xf>
    <xf numFmtId="182" fontId="34" fillId="0" borderId="0" xfId="1406" applyNumberFormat="1" applyFont="1" applyFill="1" applyBorder="1" applyAlignment="1">
      <alignment horizontal="right" vertical="center"/>
    </xf>
    <xf numFmtId="38" fontId="13" fillId="0" borderId="21" xfId="2122" applyNumberFormat="1" applyFont="1" applyBorder="1" applyAlignment="1">
      <alignment vertical="center"/>
    </xf>
    <xf numFmtId="184" fontId="13" fillId="0" borderId="66" xfId="2122" applyNumberFormat="1" applyFont="1" applyBorder="1" applyAlignment="1">
      <alignment vertical="center"/>
    </xf>
    <xf numFmtId="255" fontId="8" fillId="44" borderId="21" xfId="1633" applyNumberFormat="1" applyFont="1" applyFill="1" applyBorder="1" applyAlignment="1">
      <alignment vertical="center"/>
    </xf>
    <xf numFmtId="182" fontId="252" fillId="12" borderId="71" xfId="1407" applyNumberFormat="1" applyFont="1" applyFill="1" applyBorder="1" applyAlignment="1">
      <alignment vertical="center" wrapText="1"/>
    </xf>
    <xf numFmtId="182" fontId="262" fillId="12" borderId="72" xfId="1407" applyNumberFormat="1" applyFont="1" applyFill="1" applyBorder="1" applyAlignment="1">
      <alignment vertical="center" wrapText="1"/>
    </xf>
    <xf numFmtId="0" fontId="196" fillId="0" borderId="16" xfId="2123" applyNumberFormat="1" applyFont="1" applyFill="1" applyBorder="1" applyAlignment="1" applyProtection="1">
      <alignment horizontal="left" vertical="center"/>
    </xf>
    <xf numFmtId="38" fontId="198" fillId="0" borderId="0" xfId="0" applyNumberFormat="1" applyFont="1" applyBorder="1" applyAlignment="1">
      <alignment horizontal="left" vertical="center"/>
    </xf>
    <xf numFmtId="38" fontId="20" fillId="10" borderId="0" xfId="0" applyNumberFormat="1" applyFont="1" applyFill="1" applyBorder="1" applyAlignment="1">
      <alignment horizontal="center" vertical="center"/>
    </xf>
    <xf numFmtId="0" fontId="28" fillId="10" borderId="0" xfId="2122" applyFont="1" applyFill="1" applyBorder="1" applyAlignment="1">
      <alignment horizontal="center" vertical="center"/>
    </xf>
    <xf numFmtId="38" fontId="28" fillId="10" borderId="0" xfId="0" applyNumberFormat="1" applyFont="1" applyFill="1" applyBorder="1" applyAlignment="1">
      <alignment horizontal="center" vertical="center"/>
    </xf>
    <xf numFmtId="0" fontId="28" fillId="10" borderId="0" xfId="2122" applyFont="1" applyFill="1" applyBorder="1" applyAlignment="1">
      <alignment horizontal="center" vertical="center"/>
    </xf>
    <xf numFmtId="196" fontId="13" fillId="0" borderId="21" xfId="1548" applyNumberFormat="1" applyFont="1" applyFill="1" applyBorder="1" applyAlignment="1">
      <alignment horizontal="right" vertical="center"/>
    </xf>
    <xf numFmtId="196" fontId="8" fillId="0" borderId="21" xfId="1548" applyNumberFormat="1" applyFont="1" applyFill="1" applyBorder="1" applyAlignment="1">
      <alignment horizontal="right" vertical="center"/>
    </xf>
    <xf numFmtId="182" fontId="55" fillId="0" borderId="0" xfId="0" applyNumberFormat="1" applyFont="1" applyFill="1" applyBorder="1" applyAlignment="1"/>
    <xf numFmtId="38" fontId="8" fillId="0" borderId="23" xfId="0" applyNumberFormat="1" applyFont="1" applyFill="1" applyBorder="1" applyAlignment="1"/>
    <xf numFmtId="38" fontId="262" fillId="0" borderId="23" xfId="0" applyNumberFormat="1" applyFont="1" applyFill="1" applyBorder="1" applyAlignment="1">
      <alignment vertical="center"/>
    </xf>
    <xf numFmtId="37" fontId="34" fillId="0" borderId="8" xfId="0" applyNumberFormat="1" applyFont="1" applyFill="1" applyBorder="1" applyAlignment="1">
      <alignment vertical="center" wrapText="1"/>
    </xf>
    <xf numFmtId="38" fontId="0" fillId="0" borderId="52" xfId="0" applyNumberFormat="1" applyFont="1" applyFill="1" applyBorder="1" applyAlignment="1">
      <alignment vertical="center" wrapText="1"/>
    </xf>
    <xf numFmtId="191" fontId="260" fillId="0" borderId="24" xfId="1631" applyNumberFormat="1" applyFont="1" applyFill="1" applyBorder="1" applyAlignment="1">
      <alignment horizontal="right" vertical="center"/>
    </xf>
    <xf numFmtId="191" fontId="260" fillId="0" borderId="28" xfId="2122" applyNumberFormat="1" applyFont="1" applyFill="1" applyBorder="1" applyAlignment="1">
      <alignment horizontal="right" vertical="center"/>
    </xf>
    <xf numFmtId="191" fontId="260" fillId="0" borderId="29" xfId="2122" applyNumberFormat="1" applyFont="1" applyFill="1" applyBorder="1" applyAlignment="1">
      <alignment horizontal="right" vertical="center"/>
    </xf>
    <xf numFmtId="191" fontId="260" fillId="0" borderId="29" xfId="1631" applyNumberFormat="1" applyFont="1" applyFill="1" applyBorder="1" applyAlignment="1">
      <alignment horizontal="right" vertical="center"/>
    </xf>
    <xf numFmtId="191" fontId="260" fillId="0" borderId="88" xfId="1631" applyNumberFormat="1" applyFont="1" applyFill="1" applyBorder="1" applyAlignment="1">
      <alignment horizontal="right" vertical="center"/>
    </xf>
    <xf numFmtId="191" fontId="260" fillId="0" borderId="31" xfId="1545" applyNumberFormat="1" applyFont="1" applyFill="1" applyBorder="1" applyAlignment="1">
      <alignment horizontal="right" vertical="center"/>
    </xf>
    <xf numFmtId="187" fontId="252" fillId="0" borderId="21" xfId="2122" applyNumberFormat="1" applyFont="1" applyFill="1" applyBorder="1" applyAlignment="1">
      <alignment vertical="center"/>
    </xf>
    <xf numFmtId="2" fontId="252" fillId="0" borderId="21" xfId="2122" applyNumberFormat="1" applyFont="1" applyFill="1" applyBorder="1" applyAlignment="1">
      <alignment vertical="center"/>
    </xf>
    <xf numFmtId="0" fontId="254" fillId="0" borderId="21" xfId="2122" applyFont="1" applyFill="1" applyBorder="1" applyAlignment="1">
      <alignment vertical="center"/>
    </xf>
    <xf numFmtId="38" fontId="258" fillId="0" borderId="0" xfId="0" applyNumberFormat="1" applyFont="1" applyFill="1" applyBorder="1" applyAlignment="1">
      <alignment vertical="top"/>
    </xf>
    <xf numFmtId="38" fontId="255" fillId="0" borderId="21" xfId="2122" applyNumberFormat="1" applyFont="1" applyFill="1" applyBorder="1" applyAlignment="1">
      <alignment vertical="center"/>
    </xf>
    <xf numFmtId="38" fontId="255" fillId="0" borderId="23" xfId="2122" applyNumberFormat="1" applyFont="1" applyFill="1" applyBorder="1" applyAlignment="1">
      <alignment vertical="center"/>
    </xf>
    <xf numFmtId="187" fontId="252" fillId="0" borderId="23" xfId="2122" applyNumberFormat="1" applyFont="1" applyFill="1" applyBorder="1" applyAlignment="1">
      <alignment vertical="center"/>
    </xf>
    <xf numFmtId="0" fontId="31" fillId="0" borderId="0" xfId="2122" applyFont="1" applyFill="1" applyBorder="1" applyAlignment="1">
      <alignment horizontal="center" vertical="center"/>
    </xf>
    <xf numFmtId="196" fontId="13" fillId="0" borderId="0" xfId="1553" applyNumberFormat="1" applyFont="1" applyBorder="1" applyAlignment="1">
      <alignment vertical="center"/>
    </xf>
    <xf numFmtId="196" fontId="8" fillId="0" borderId="0" xfId="1553" applyNumberFormat="1" applyFont="1" applyBorder="1" applyAlignment="1">
      <alignment horizontal="right" vertical="center"/>
    </xf>
    <xf numFmtId="41" fontId="8" fillId="0" borderId="0" xfId="1553" applyNumberFormat="1" applyFont="1" applyBorder="1" applyAlignment="1">
      <alignment horizontal="right" vertical="center"/>
    </xf>
    <xf numFmtId="196" fontId="8" fillId="0" borderId="0" xfId="1553" applyNumberFormat="1" applyFont="1" applyBorder="1" applyAlignment="1">
      <alignment vertical="center"/>
    </xf>
    <xf numFmtId="187" fontId="13" fillId="0" borderId="0" xfId="2122" applyNumberFormat="1" applyFont="1" applyFill="1" applyBorder="1" applyAlignment="1">
      <alignment vertical="center"/>
    </xf>
    <xf numFmtId="41" fontId="13" fillId="0" borderId="0" xfId="2122" applyNumberFormat="1" applyFont="1" applyFill="1" applyBorder="1" applyAlignment="1">
      <alignment vertical="center"/>
    </xf>
    <xf numFmtId="255" fontId="259" fillId="0" borderId="89" xfId="0" applyNumberFormat="1" applyFont="1" applyFill="1" applyBorder="1" applyAlignment="1">
      <alignment horizontal="right" vertical="center"/>
    </xf>
    <xf numFmtId="9" fontId="259" fillId="0" borderId="37" xfId="1422" applyFont="1" applyFill="1" applyBorder="1" applyAlignment="1">
      <alignment horizontal="center" vertical="center"/>
    </xf>
    <xf numFmtId="255" fontId="259" fillId="0" borderId="37" xfId="0" applyNumberFormat="1" applyFont="1" applyFill="1" applyBorder="1">
      <alignment vertical="center"/>
    </xf>
    <xf numFmtId="182" fontId="260" fillId="0" borderId="37" xfId="1422" applyNumberFormat="1" applyFont="1" applyFill="1" applyBorder="1" applyAlignment="1">
      <alignment horizontal="center" vertical="center"/>
    </xf>
    <xf numFmtId="255" fontId="259" fillId="0" borderId="26" xfId="0" applyNumberFormat="1" applyFont="1" applyFill="1" applyBorder="1" applyAlignment="1">
      <alignment horizontal="right" vertical="center"/>
    </xf>
    <xf numFmtId="9" fontId="259" fillId="0" borderId="21" xfId="1422" applyFont="1" applyFill="1" applyBorder="1" applyAlignment="1">
      <alignment horizontal="center" vertical="center"/>
    </xf>
    <xf numFmtId="255" fontId="259" fillId="0" borderId="21" xfId="0" applyNumberFormat="1" applyFont="1" applyFill="1" applyBorder="1">
      <alignment vertical="center"/>
    </xf>
    <xf numFmtId="182" fontId="260" fillId="0" borderId="21" xfId="1422" applyNumberFormat="1" applyFont="1" applyFill="1" applyBorder="1" applyAlignment="1">
      <alignment horizontal="center" vertical="center"/>
    </xf>
    <xf numFmtId="255" fontId="260" fillId="0" borderId="27" xfId="0" applyNumberFormat="1" applyFont="1" applyFill="1" applyBorder="1" applyAlignment="1">
      <alignment horizontal="right" vertical="center"/>
    </xf>
    <xf numFmtId="9" fontId="260" fillId="0" borderId="23" xfId="1422" applyFont="1" applyFill="1" applyBorder="1" applyAlignment="1">
      <alignment horizontal="center" vertical="center"/>
    </xf>
    <xf numFmtId="255" fontId="259" fillId="0" borderId="23" xfId="0" applyNumberFormat="1" applyFont="1" applyFill="1" applyBorder="1">
      <alignment vertical="center"/>
    </xf>
    <xf numFmtId="182" fontId="260" fillId="0" borderId="23" xfId="1422" applyNumberFormat="1" applyFont="1" applyFill="1" applyBorder="1" applyAlignment="1">
      <alignment horizontal="center" vertical="center"/>
    </xf>
    <xf numFmtId="38" fontId="252" fillId="0" borderId="89" xfId="0" applyNumberFormat="1" applyFont="1" applyFill="1" applyBorder="1" applyAlignment="1"/>
    <xf numFmtId="38" fontId="252" fillId="0" borderId="18" xfId="0" applyNumberFormat="1" applyFont="1" applyFill="1" applyBorder="1" applyAlignment="1"/>
    <xf numFmtId="38" fontId="252" fillId="0" borderId="87" xfId="1422" applyNumberFormat="1" applyFont="1" applyFill="1" applyBorder="1"/>
    <xf numFmtId="182" fontId="252" fillId="0" borderId="25" xfId="1422" applyNumberFormat="1" applyFont="1" applyFill="1" applyBorder="1"/>
    <xf numFmtId="182" fontId="252" fillId="0" borderId="18" xfId="1422" applyNumberFormat="1" applyFont="1" applyFill="1" applyBorder="1"/>
    <xf numFmtId="38" fontId="252" fillId="0" borderId="26" xfId="0" applyNumberFormat="1" applyFont="1" applyFill="1" applyBorder="1" applyAlignment="1"/>
    <xf numFmtId="38" fontId="252" fillId="0" borderId="21" xfId="0" applyNumberFormat="1" applyFont="1" applyFill="1" applyBorder="1" applyAlignment="1"/>
    <xf numFmtId="38" fontId="252" fillId="0" borderId="21" xfId="1422" applyNumberFormat="1" applyFont="1" applyFill="1" applyBorder="1"/>
    <xf numFmtId="10" fontId="252" fillId="0" borderId="93" xfId="0" applyNumberFormat="1" applyFont="1" applyFill="1" applyBorder="1" applyAlignment="1"/>
    <xf numFmtId="10" fontId="252" fillId="0" borderId="94" xfId="0" applyNumberFormat="1" applyFont="1" applyFill="1" applyBorder="1" applyAlignment="1"/>
    <xf numFmtId="38" fontId="252" fillId="0" borderId="95" xfId="0" applyNumberFormat="1" applyFont="1" applyFill="1" applyBorder="1" applyAlignment="1"/>
    <xf numFmtId="38" fontId="252" fillId="0" borderId="87" xfId="0" applyNumberFormat="1" applyFont="1" applyFill="1" applyBorder="1" applyAlignment="1"/>
    <xf numFmtId="182" fontId="252" fillId="0" borderId="26" xfId="1422" applyNumberFormat="1" applyFont="1" applyFill="1" applyBorder="1"/>
    <xf numFmtId="182" fontId="252" fillId="0" borderId="21" xfId="1422" applyNumberFormat="1" applyFont="1" applyFill="1" applyBorder="1"/>
    <xf numFmtId="38" fontId="262" fillId="0" borderId="95" xfId="0" applyNumberFormat="1" applyFont="1" applyFill="1" applyBorder="1" applyAlignment="1"/>
    <xf numFmtId="38" fontId="262" fillId="0" borderId="87" xfId="0" applyNumberFormat="1" applyFont="1" applyFill="1" applyBorder="1" applyAlignment="1"/>
    <xf numFmtId="38" fontId="262" fillId="0" borderId="26" xfId="0" applyNumberFormat="1" applyFont="1" applyFill="1" applyBorder="1" applyAlignment="1"/>
    <xf numFmtId="38" fontId="262" fillId="0" borderId="21" xfId="0" applyNumberFormat="1" applyFont="1" applyFill="1" applyBorder="1" applyAlignment="1"/>
    <xf numFmtId="10" fontId="262" fillId="0" borderId="32" xfId="0" applyNumberFormat="1" applyFont="1" applyFill="1" applyBorder="1" applyAlignment="1"/>
    <xf numFmtId="10" fontId="262" fillId="0" borderId="30" xfId="0" applyNumberFormat="1" applyFont="1" applyFill="1" applyBorder="1" applyAlignment="1"/>
    <xf numFmtId="38" fontId="255" fillId="0" borderId="0" xfId="1633" applyNumberFormat="1" applyFont="1" applyFill="1" applyBorder="1" applyAlignment="1">
      <alignment vertical="center"/>
    </xf>
    <xf numFmtId="196" fontId="8" fillId="0" borderId="102" xfId="1545" applyNumberFormat="1" applyFont="1" applyFill="1" applyBorder="1" applyAlignment="1">
      <alignment horizontal="right" vertical="center"/>
    </xf>
    <xf numFmtId="196" fontId="8" fillId="44" borderId="100" xfId="1545" applyNumberFormat="1" applyFont="1" applyFill="1" applyBorder="1" applyAlignment="1">
      <alignment horizontal="right" vertical="center"/>
    </xf>
    <xf numFmtId="0" fontId="4" fillId="2" borderId="0" xfId="69"/>
    <xf numFmtId="0" fontId="4" fillId="0" borderId="0" xfId="69" applyFill="1" applyAlignment="1">
      <alignment vertical="center"/>
    </xf>
    <xf numFmtId="38" fontId="252" fillId="0" borderId="21" xfId="0" applyNumberFormat="1" applyFont="1" applyFill="1" applyBorder="1" applyAlignment="1">
      <alignment vertical="center"/>
    </xf>
    <xf numFmtId="38" fontId="252" fillId="0" borderId="13" xfId="0" applyNumberFormat="1" applyFont="1" applyFill="1" applyBorder="1" applyAlignment="1">
      <alignment vertical="center"/>
    </xf>
    <xf numFmtId="41" fontId="13" fillId="0" borderId="21" xfId="1545" applyFont="1" applyFill="1" applyBorder="1" applyAlignment="1">
      <alignment vertical="center"/>
    </xf>
    <xf numFmtId="41" fontId="13" fillId="0" borderId="21" xfId="1545" applyNumberFormat="1" applyFont="1" applyFill="1" applyBorder="1" applyAlignment="1">
      <alignment vertical="center"/>
    </xf>
    <xf numFmtId="41" fontId="13" fillId="0" borderId="23" xfId="1545" applyNumberFormat="1" applyFont="1" applyFill="1" applyBorder="1" applyAlignment="1">
      <alignment vertical="center"/>
    </xf>
    <xf numFmtId="41" fontId="8" fillId="0" borderId="23" xfId="1545" applyNumberFormat="1" applyFont="1" applyFill="1" applyBorder="1" applyAlignment="1">
      <alignment vertical="center"/>
    </xf>
    <xf numFmtId="9" fontId="255" fillId="0" borderId="0" xfId="1406" applyFont="1" applyFill="1" applyBorder="1" applyAlignment="1">
      <alignment vertical="center"/>
    </xf>
    <xf numFmtId="41" fontId="255" fillId="0" borderId="0" xfId="1545" applyFont="1" applyFill="1" applyBorder="1" applyAlignment="1">
      <alignment vertical="center"/>
    </xf>
    <xf numFmtId="41" fontId="255" fillId="0" borderId="18" xfId="1545" applyFont="1" applyFill="1" applyBorder="1" applyAlignment="1">
      <alignment vertical="center"/>
    </xf>
    <xf numFmtId="41" fontId="13" fillId="0" borderId="23" xfId="1545" applyFont="1" applyFill="1" applyBorder="1" applyAlignment="1">
      <alignment vertical="center"/>
    </xf>
    <xf numFmtId="41" fontId="8" fillId="0" borderId="23" xfId="1545" applyFont="1" applyFill="1" applyBorder="1" applyAlignment="1">
      <alignment vertical="center"/>
    </xf>
    <xf numFmtId="188" fontId="13" fillId="0" borderId="23" xfId="1545" applyNumberFormat="1" applyFont="1" applyFill="1" applyBorder="1" applyAlignment="1">
      <alignment vertical="center"/>
    </xf>
    <xf numFmtId="38" fontId="13" fillId="0" borderId="21" xfId="0" applyNumberFormat="1" applyFont="1" applyFill="1" applyBorder="1" applyAlignment="1">
      <alignment horizontal="right"/>
    </xf>
    <xf numFmtId="10" fontId="259" fillId="0" borderId="99" xfId="1407" applyNumberFormat="1" applyFont="1" applyFill="1" applyBorder="1" applyAlignment="1">
      <alignment vertical="center"/>
    </xf>
    <xf numFmtId="41" fontId="259" fillId="0" borderId="0" xfId="1548" applyNumberFormat="1" applyFont="1" applyFill="1" applyBorder="1" applyAlignment="1">
      <alignment vertical="center"/>
    </xf>
    <xf numFmtId="41" fontId="259" fillId="0" borderId="136" xfId="1548" applyNumberFormat="1" applyFont="1" applyFill="1" applyBorder="1" applyAlignment="1">
      <alignment vertical="center"/>
    </xf>
    <xf numFmtId="41" fontId="259" fillId="0" borderId="13" xfId="1548" applyNumberFormat="1" applyFont="1" applyFill="1" applyBorder="1" applyAlignment="1">
      <alignment vertical="center"/>
    </xf>
    <xf numFmtId="41" fontId="259" fillId="0" borderId="23" xfId="1548" applyFont="1" applyFill="1" applyBorder="1" applyAlignment="1">
      <alignment vertical="center"/>
    </xf>
    <xf numFmtId="38" fontId="252" fillId="0" borderId="139" xfId="1632" applyNumberFormat="1" applyFont="1" applyFill="1" applyBorder="1" applyAlignment="1">
      <alignment vertical="center"/>
    </xf>
    <xf numFmtId="187" fontId="252" fillId="0" borderId="140" xfId="2122" applyNumberFormat="1" applyFont="1" applyFill="1" applyBorder="1" applyAlignment="1">
      <alignment vertical="center"/>
    </xf>
    <xf numFmtId="38" fontId="262" fillId="0" borderId="139" xfId="1632" applyNumberFormat="1" applyFont="1" applyFill="1" applyBorder="1" applyAlignment="1">
      <alignment vertical="center"/>
    </xf>
    <xf numFmtId="2" fontId="252" fillId="0" borderId="140" xfId="2122" applyNumberFormat="1" applyFont="1" applyFill="1" applyBorder="1" applyAlignment="1">
      <alignment vertical="center"/>
    </xf>
    <xf numFmtId="0" fontId="254" fillId="0" borderId="140" xfId="2122" applyFont="1" applyFill="1" applyBorder="1" applyAlignment="1">
      <alignment vertical="center"/>
    </xf>
    <xf numFmtId="187" fontId="264" fillId="0" borderId="97" xfId="2122" applyNumberFormat="1" applyFont="1" applyFill="1" applyBorder="1" applyAlignment="1">
      <alignment vertical="center"/>
    </xf>
    <xf numFmtId="187" fontId="264" fillId="0" borderId="44" xfId="2122" applyNumberFormat="1" applyFont="1" applyFill="1" applyBorder="1" applyAlignment="1">
      <alignment vertical="center"/>
    </xf>
    <xf numFmtId="187" fontId="252" fillId="0" borderId="48" xfId="2122" applyNumberFormat="1" applyFont="1" applyFill="1" applyBorder="1" applyAlignment="1">
      <alignment vertical="center"/>
    </xf>
    <xf numFmtId="41" fontId="8" fillId="0" borderId="23" xfId="1553" applyNumberFormat="1" applyFont="1" applyFill="1" applyBorder="1" applyAlignment="1">
      <alignment horizontal="right" vertical="center"/>
    </xf>
    <xf numFmtId="41" fontId="13" fillId="0" borderId="65" xfId="1545" applyFont="1" applyFill="1" applyBorder="1" applyAlignment="1">
      <alignment vertical="center"/>
    </xf>
    <xf numFmtId="38" fontId="13" fillId="44" borderId="21" xfId="1632" applyNumberFormat="1" applyFont="1" applyFill="1" applyBorder="1" applyAlignment="1">
      <alignment vertical="center"/>
    </xf>
    <xf numFmtId="184" fontId="13" fillId="44" borderId="21" xfId="2122" applyNumberFormat="1" applyFont="1" applyFill="1" applyBorder="1" applyAlignment="1">
      <alignment vertical="center"/>
    </xf>
    <xf numFmtId="38" fontId="8" fillId="44" borderId="21" xfId="1632" applyNumberFormat="1" applyFont="1" applyFill="1" applyBorder="1" applyAlignment="1">
      <alignment vertical="center"/>
    </xf>
    <xf numFmtId="184" fontId="8" fillId="44" borderId="21" xfId="2122" applyNumberFormat="1" applyFont="1" applyFill="1" applyBorder="1" applyAlignment="1">
      <alignment vertical="center"/>
    </xf>
    <xf numFmtId="184" fontId="13" fillId="44" borderId="21" xfId="1632" applyNumberFormat="1" applyFont="1" applyFill="1" applyBorder="1" applyAlignment="1">
      <alignment vertical="center"/>
    </xf>
    <xf numFmtId="182" fontId="13" fillId="44" borderId="21" xfId="2122" applyNumberFormat="1" applyFont="1" applyFill="1" applyBorder="1" applyAlignment="1">
      <alignment vertical="center"/>
    </xf>
    <xf numFmtId="256" fontId="13" fillId="44" borderId="21" xfId="1406" applyNumberFormat="1" applyFont="1" applyFill="1" applyBorder="1" applyAlignment="1">
      <alignment vertical="center"/>
    </xf>
    <xf numFmtId="184" fontId="13" fillId="44" borderId="13" xfId="2122" applyNumberFormat="1" applyFont="1" applyFill="1" applyBorder="1" applyAlignment="1">
      <alignment vertical="center"/>
    </xf>
    <xf numFmtId="184" fontId="78" fillId="44" borderId="13" xfId="2122" applyNumberFormat="1" applyFont="1" applyFill="1" applyBorder="1" applyAlignment="1">
      <alignment vertical="center"/>
    </xf>
    <xf numFmtId="184" fontId="78" fillId="44" borderId="18" xfId="2122" applyNumberFormat="1" applyFont="1" applyFill="1" applyBorder="1" applyAlignment="1">
      <alignment vertical="center"/>
    </xf>
    <xf numFmtId="184" fontId="255" fillId="44" borderId="21" xfId="2122" applyNumberFormat="1" applyFont="1" applyFill="1" applyBorder="1" applyAlignment="1">
      <alignment vertical="center"/>
    </xf>
    <xf numFmtId="184" fontId="255" fillId="44" borderId="23" xfId="2122" applyNumberFormat="1" applyFont="1" applyFill="1" applyBorder="1" applyAlignment="1">
      <alignment vertical="center"/>
    </xf>
    <xf numFmtId="184" fontId="13" fillId="44" borderId="23" xfId="2122" applyNumberFormat="1" applyFont="1" applyFill="1" applyBorder="1" applyAlignment="1">
      <alignment vertical="center"/>
    </xf>
    <xf numFmtId="184" fontId="265" fillId="0" borderId="0" xfId="2122" applyNumberFormat="1" applyFont="1" applyBorder="1" applyAlignment="1">
      <alignment vertical="center"/>
    </xf>
    <xf numFmtId="184" fontId="13" fillId="0" borderId="21" xfId="2122" applyNumberFormat="1" applyFont="1" applyFill="1" applyBorder="1" applyAlignment="1">
      <alignment vertical="center"/>
    </xf>
    <xf numFmtId="184" fontId="13" fillId="0" borderId="65" xfId="2122" applyNumberFormat="1" applyFont="1" applyFill="1" applyBorder="1" applyAlignment="1">
      <alignment vertical="center"/>
    </xf>
    <xf numFmtId="184" fontId="13" fillId="0" borderId="66" xfId="2122" applyNumberFormat="1" applyFont="1" applyFill="1" applyBorder="1" applyAlignment="1">
      <alignment vertical="center"/>
    </xf>
    <xf numFmtId="184" fontId="13" fillId="0" borderId="23" xfId="2122" applyNumberFormat="1" applyFont="1" applyFill="1" applyBorder="1" applyAlignment="1">
      <alignment vertical="center"/>
    </xf>
    <xf numFmtId="184" fontId="13" fillId="0" borderId="67" xfId="2122" applyNumberFormat="1" applyFont="1" applyFill="1" applyBorder="1" applyAlignment="1">
      <alignment vertical="center"/>
    </xf>
    <xf numFmtId="184" fontId="13" fillId="0" borderId="68" xfId="2122" applyNumberFormat="1" applyFont="1" applyFill="1" applyBorder="1" applyAlignment="1">
      <alignment vertical="center"/>
    </xf>
    <xf numFmtId="41" fontId="13" fillId="0" borderId="34" xfId="1545" applyFont="1" applyFill="1" applyBorder="1" applyAlignment="1">
      <alignment vertical="center"/>
    </xf>
    <xf numFmtId="41" fontId="13" fillId="0" borderId="35" xfId="1545" applyFont="1" applyFill="1" applyBorder="1" applyAlignment="1">
      <alignment vertical="center"/>
    </xf>
    <xf numFmtId="2" fontId="8" fillId="0" borderId="35" xfId="2122" applyNumberFormat="1" applyFont="1" applyFill="1" applyBorder="1" applyAlignment="1">
      <alignment vertical="center"/>
    </xf>
    <xf numFmtId="41" fontId="13" fillId="0" borderId="35" xfId="1548" applyFont="1" applyFill="1" applyBorder="1" applyAlignment="1">
      <alignment vertical="center"/>
    </xf>
    <xf numFmtId="41" fontId="13" fillId="0" borderId="35" xfId="1548" applyNumberFormat="1" applyFont="1" applyFill="1" applyBorder="1" applyAlignment="1">
      <alignment vertical="center"/>
    </xf>
    <xf numFmtId="255" fontId="259" fillId="44" borderId="89" xfId="0" applyNumberFormat="1" applyFont="1" applyFill="1" applyBorder="1" applyAlignment="1">
      <alignment horizontal="right" vertical="center"/>
    </xf>
    <xf numFmtId="255" fontId="259" fillId="44" borderId="26" xfId="0" applyNumberFormat="1" applyFont="1" applyFill="1" applyBorder="1" applyAlignment="1">
      <alignment horizontal="right" vertical="center"/>
    </xf>
    <xf numFmtId="38" fontId="252" fillId="44" borderId="18" xfId="0" applyNumberFormat="1" applyFont="1" applyFill="1" applyBorder="1" applyAlignment="1"/>
    <xf numFmtId="38" fontId="252" fillId="44" borderId="87" xfId="1422" applyNumberFormat="1" applyFont="1" applyFill="1" applyBorder="1"/>
    <xf numFmtId="38" fontId="30" fillId="44" borderId="0" xfId="0" applyNumberFormat="1" applyFont="1" applyFill="1" applyBorder="1" applyAlignment="1">
      <alignment horizontal="left"/>
    </xf>
    <xf numFmtId="38" fontId="252" fillId="44" borderId="21" xfId="1422" applyNumberFormat="1" applyFont="1" applyFill="1" applyBorder="1"/>
    <xf numFmtId="38" fontId="30" fillId="44" borderId="0" xfId="0" applyNumberFormat="1" applyFont="1" applyFill="1" applyBorder="1" applyAlignment="1"/>
    <xf numFmtId="38" fontId="262" fillId="44" borderId="87" xfId="0" applyNumberFormat="1" applyFont="1" applyFill="1" applyBorder="1" applyAlignment="1"/>
    <xf numFmtId="38" fontId="262" fillId="44" borderId="21" xfId="0" applyNumberFormat="1" applyFont="1" applyFill="1" applyBorder="1" applyAlignment="1"/>
    <xf numFmtId="38" fontId="13" fillId="0" borderId="43" xfId="0" applyNumberFormat="1" applyFont="1" applyFill="1" applyBorder="1" applyAlignment="1"/>
    <xf numFmtId="38" fontId="13" fillId="0" borderId="23" xfId="0" applyNumberFormat="1" applyFont="1" applyFill="1" applyBorder="1" applyAlignment="1"/>
    <xf numFmtId="38" fontId="13" fillId="0" borderId="41" xfId="0" applyNumberFormat="1" applyFont="1" applyFill="1" applyBorder="1" applyAlignment="1"/>
    <xf numFmtId="38" fontId="13" fillId="0" borderId="42" xfId="0" applyNumberFormat="1" applyFont="1" applyFill="1" applyBorder="1" applyAlignment="1"/>
    <xf numFmtId="41" fontId="13" fillId="0" borderId="21" xfId="0" applyNumberFormat="1" applyFont="1" applyFill="1" applyBorder="1" applyAlignment="1"/>
    <xf numFmtId="41" fontId="13" fillId="0" borderId="21" xfId="1545" applyFont="1" applyFill="1" applyBorder="1" applyAlignment="1">
      <alignment horizontal="right"/>
    </xf>
    <xf numFmtId="41" fontId="13" fillId="0" borderId="13" xfId="1545" applyFont="1" applyFill="1" applyBorder="1" applyAlignment="1">
      <alignment horizontal="right"/>
    </xf>
    <xf numFmtId="38" fontId="13" fillId="0" borderId="13" xfId="0" applyNumberFormat="1" applyFont="1" applyFill="1" applyBorder="1" applyAlignment="1">
      <alignment horizontal="right"/>
    </xf>
    <xf numFmtId="41" fontId="30" fillId="0" borderId="21" xfId="1545" applyNumberFormat="1" applyFont="1" applyFill="1" applyBorder="1" applyAlignment="1">
      <alignment vertical="center"/>
    </xf>
    <xf numFmtId="41" fontId="34" fillId="0" borderId="21" xfId="1406" applyNumberFormat="1" applyFont="1" applyFill="1" applyBorder="1" applyAlignment="1">
      <alignment vertical="center"/>
    </xf>
    <xf numFmtId="41" fontId="30" fillId="0" borderId="21" xfId="1545" applyNumberFormat="1" applyFont="1" applyFill="1" applyBorder="1" applyAlignment="1">
      <alignment horizontal="right" vertical="center"/>
    </xf>
    <xf numFmtId="41" fontId="257" fillId="0" borderId="21" xfId="1545" applyNumberFormat="1" applyFont="1" applyFill="1" applyBorder="1" applyAlignment="1">
      <alignment vertical="center"/>
    </xf>
    <xf numFmtId="41" fontId="34" fillId="0" borderId="21" xfId="1545" applyNumberFormat="1" applyFont="1" applyFill="1" applyBorder="1" applyAlignment="1">
      <alignment horizontal="right" vertical="center"/>
    </xf>
    <xf numFmtId="190" fontId="259" fillId="0" borderId="25" xfId="1631" applyNumberFormat="1" applyFont="1" applyFill="1" applyBorder="1" applyAlignment="1">
      <alignment horizontal="right" vertical="center"/>
    </xf>
    <xf numFmtId="190" fontId="259" fillId="0" borderId="18" xfId="1631" applyNumberFormat="1" applyFont="1" applyFill="1" applyBorder="1" applyAlignment="1">
      <alignment horizontal="right" vertical="center"/>
    </xf>
    <xf numFmtId="190" fontId="259" fillId="0" borderId="26" xfId="1631" applyNumberFormat="1" applyFont="1" applyFill="1" applyBorder="1" applyAlignment="1">
      <alignment horizontal="right" vertical="center"/>
    </xf>
    <xf numFmtId="190" fontId="259" fillId="0" borderId="21" xfId="1631" applyNumberFormat="1" applyFont="1" applyFill="1" applyBorder="1" applyAlignment="1">
      <alignment horizontal="right" vertical="center"/>
    </xf>
    <xf numFmtId="190" fontId="259" fillId="0" borderId="27" xfId="1631" applyNumberFormat="1" applyFont="1" applyFill="1" applyBorder="1" applyAlignment="1">
      <alignment horizontal="right" vertical="center"/>
    </xf>
    <xf numFmtId="190" fontId="259" fillId="0" borderId="23" xfId="1631" applyNumberFormat="1" applyFont="1" applyFill="1" applyBorder="1" applyAlignment="1">
      <alignment horizontal="right" vertical="center"/>
    </xf>
    <xf numFmtId="190" fontId="259" fillId="0" borderId="25" xfId="2122" applyNumberFormat="1" applyFont="1" applyFill="1" applyBorder="1" applyAlignment="1">
      <alignment horizontal="right" vertical="center"/>
    </xf>
    <xf numFmtId="190" fontId="259" fillId="0" borderId="18" xfId="2122" applyNumberFormat="1" applyFont="1" applyFill="1" applyBorder="1" applyAlignment="1">
      <alignment horizontal="right" vertical="center"/>
    </xf>
    <xf numFmtId="190" fontId="259" fillId="0" borderId="26" xfId="2122" applyNumberFormat="1" applyFont="1" applyFill="1" applyBorder="1" applyAlignment="1">
      <alignment horizontal="right" vertical="center"/>
    </xf>
    <xf numFmtId="190" fontId="259" fillId="0" borderId="21" xfId="2122" applyNumberFormat="1" applyFont="1" applyFill="1" applyBorder="1" applyAlignment="1">
      <alignment horizontal="right" vertical="center"/>
    </xf>
    <xf numFmtId="190" fontId="259" fillId="0" borderId="26" xfId="1545" applyNumberFormat="1" applyFont="1" applyFill="1" applyBorder="1" applyAlignment="1">
      <alignment horizontal="right" vertical="center"/>
    </xf>
    <xf numFmtId="190" fontId="259" fillId="0" borderId="21" xfId="1545" applyNumberFormat="1" applyFont="1" applyFill="1" applyBorder="1" applyAlignment="1">
      <alignment horizontal="right" vertical="center"/>
    </xf>
    <xf numFmtId="190" fontId="259" fillId="0" borderId="32" xfId="1545" applyNumberFormat="1" applyFont="1" applyFill="1" applyBorder="1" applyAlignment="1">
      <alignment horizontal="right" vertical="center"/>
    </xf>
    <xf numFmtId="190" fontId="259" fillId="0" borderId="30" xfId="1545" applyNumberFormat="1" applyFont="1" applyFill="1" applyBorder="1" applyAlignment="1">
      <alignment horizontal="right" vertical="center"/>
    </xf>
    <xf numFmtId="196" fontId="13" fillId="0" borderId="21" xfId="1553" applyNumberFormat="1" applyFont="1" applyFill="1" applyBorder="1" applyAlignment="1">
      <alignment vertical="center"/>
    </xf>
    <xf numFmtId="9" fontId="34" fillId="0" borderId="21" xfId="1406" applyFont="1" applyFill="1" applyBorder="1" applyAlignment="1">
      <alignment vertical="center"/>
    </xf>
    <xf numFmtId="181" fontId="34" fillId="0" borderId="21" xfId="1406" applyNumberFormat="1" applyFont="1" applyFill="1" applyBorder="1" applyAlignment="1">
      <alignment vertical="center"/>
    </xf>
    <xf numFmtId="38" fontId="13" fillId="0" borderId="90" xfId="1633" applyNumberFormat="1" applyFont="1" applyFill="1" applyBorder="1" applyAlignment="1">
      <alignment horizontal="center" vertical="center"/>
    </xf>
    <xf numFmtId="38" fontId="13" fillId="0" borderId="91" xfId="1633" applyNumberFormat="1" applyFont="1" applyFill="1" applyBorder="1" applyAlignment="1">
      <alignment horizontal="center" vertical="center"/>
    </xf>
    <xf numFmtId="38" fontId="13" fillId="0" borderId="92" xfId="1633" applyNumberFormat="1" applyFont="1" applyFill="1" applyBorder="1" applyAlignment="1">
      <alignment horizontal="center" vertical="center"/>
    </xf>
    <xf numFmtId="41" fontId="13" fillId="0" borderId="84" xfId="1545" applyFont="1" applyFill="1" applyBorder="1" applyAlignment="1"/>
    <xf numFmtId="41" fontId="13" fillId="0" borderId="85" xfId="1545" applyFont="1" applyFill="1" applyBorder="1" applyAlignment="1"/>
    <xf numFmtId="41" fontId="13" fillId="0" borderId="86" xfId="1545" applyFont="1" applyFill="1" applyBorder="1" applyAlignment="1"/>
    <xf numFmtId="10" fontId="259" fillId="44" borderId="99" xfId="1407" applyNumberFormat="1" applyFont="1" applyFill="1" applyBorder="1" applyAlignment="1">
      <alignment vertical="center"/>
    </xf>
    <xf numFmtId="41" fontId="259" fillId="44" borderId="0" xfId="1548" applyNumberFormat="1" applyFont="1" applyFill="1" applyBorder="1" applyAlignment="1">
      <alignment vertical="center"/>
    </xf>
    <xf numFmtId="41" fontId="259" fillId="44" borderId="136" xfId="1548" applyNumberFormat="1" applyFont="1" applyFill="1" applyBorder="1" applyAlignment="1">
      <alignment vertical="center"/>
    </xf>
    <xf numFmtId="41" fontId="259" fillId="44" borderId="13" xfId="1548" applyNumberFormat="1" applyFont="1" applyFill="1" applyBorder="1" applyAlignment="1">
      <alignment vertical="center"/>
    </xf>
    <xf numFmtId="41" fontId="259" fillId="44" borderId="23" xfId="1548" applyFont="1" applyFill="1" applyBorder="1" applyAlignment="1">
      <alignment vertical="center"/>
    </xf>
    <xf numFmtId="255" fontId="266" fillId="44" borderId="148" xfId="0" applyNumberFormat="1" applyFont="1" applyFill="1" applyBorder="1">
      <alignment vertical="center"/>
    </xf>
    <xf numFmtId="255" fontId="259" fillId="44" borderId="149" xfId="1631" applyNumberFormat="1" applyFont="1" applyFill="1" applyBorder="1" applyAlignment="1">
      <alignment horizontal="right" vertical="center"/>
    </xf>
    <xf numFmtId="191" fontId="260" fillId="44" borderId="24" xfId="1631" applyNumberFormat="1" applyFont="1" applyFill="1" applyBorder="1" applyAlignment="1">
      <alignment horizontal="right" vertical="center"/>
    </xf>
    <xf numFmtId="255" fontId="266" fillId="44" borderId="26" xfId="0" applyNumberFormat="1" applyFont="1" applyFill="1" applyBorder="1">
      <alignment vertical="center"/>
    </xf>
    <xf numFmtId="255" fontId="259" fillId="44" borderId="21" xfId="1631" applyNumberFormat="1" applyFont="1" applyFill="1" applyBorder="1" applyAlignment="1">
      <alignment horizontal="right" vertical="center"/>
    </xf>
    <xf numFmtId="255" fontId="266" fillId="44" borderId="150" xfId="0" applyNumberFormat="1" applyFont="1" applyFill="1" applyBorder="1">
      <alignment vertical="center"/>
    </xf>
    <xf numFmtId="255" fontId="259" fillId="44" borderId="151" xfId="1631" applyNumberFormat="1" applyFont="1" applyFill="1" applyBorder="1" applyAlignment="1">
      <alignment horizontal="right" vertical="center"/>
    </xf>
    <xf numFmtId="190" fontId="259" fillId="44" borderId="25" xfId="2122" applyNumberFormat="1" applyFont="1" applyFill="1" applyBorder="1" applyAlignment="1">
      <alignment horizontal="right" vertical="center"/>
    </xf>
    <xf numFmtId="190" fontId="259" fillId="44" borderId="18" xfId="2122" applyNumberFormat="1" applyFont="1" applyFill="1" applyBorder="1" applyAlignment="1">
      <alignment horizontal="right" vertical="center"/>
    </xf>
    <xf numFmtId="191" fontId="260" fillId="44" borderId="28" xfId="2122" applyNumberFormat="1" applyFont="1" applyFill="1" applyBorder="1" applyAlignment="1">
      <alignment horizontal="right" vertical="center"/>
    </xf>
    <xf numFmtId="190" fontId="259" fillId="44" borderId="26" xfId="2122" applyNumberFormat="1" applyFont="1" applyFill="1" applyBorder="1" applyAlignment="1">
      <alignment horizontal="right" vertical="center"/>
    </xf>
    <xf numFmtId="190" fontId="259" fillId="44" borderId="21" xfId="2122" applyNumberFormat="1" applyFont="1" applyFill="1" applyBorder="1" applyAlignment="1">
      <alignment horizontal="right" vertical="center"/>
    </xf>
    <xf numFmtId="191" fontId="260" fillId="44" borderId="29" xfId="2122" applyNumberFormat="1" applyFont="1" applyFill="1" applyBorder="1" applyAlignment="1">
      <alignment horizontal="right" vertical="center"/>
    </xf>
    <xf numFmtId="255" fontId="259" fillId="44" borderId="26" xfId="1545" applyNumberFormat="1" applyFont="1" applyFill="1" applyBorder="1" applyAlignment="1">
      <alignment horizontal="right" vertical="center"/>
    </xf>
    <xf numFmtId="255" fontId="259" fillId="44" borderId="21" xfId="1545" applyNumberFormat="1" applyFont="1" applyFill="1" applyBorder="1" applyAlignment="1">
      <alignment horizontal="right" vertical="center"/>
    </xf>
    <xf numFmtId="255" fontId="259" fillId="44" borderId="152" xfId="1545" applyNumberFormat="1" applyFont="1" applyFill="1" applyBorder="1" applyAlignment="1">
      <alignment horizontal="right" vertical="center"/>
    </xf>
    <xf numFmtId="255" fontId="259" fillId="44" borderId="136" xfId="1545" applyNumberFormat="1" applyFont="1" applyFill="1" applyBorder="1" applyAlignment="1">
      <alignment horizontal="right" vertical="center"/>
    </xf>
    <xf numFmtId="191" fontId="260" fillId="44" borderId="153" xfId="1631" applyNumberFormat="1" applyFont="1" applyFill="1" applyBorder="1" applyAlignment="1">
      <alignment horizontal="right" vertical="center"/>
    </xf>
    <xf numFmtId="38" fontId="252" fillId="44" borderId="21" xfId="1632" applyNumberFormat="1" applyFont="1" applyFill="1" applyBorder="1" applyAlignment="1">
      <alignment vertical="center"/>
    </xf>
    <xf numFmtId="187" fontId="252" fillId="44" borderId="21" xfId="2122" applyNumberFormat="1" applyFont="1" applyFill="1" applyBorder="1" applyAlignment="1">
      <alignment vertical="center"/>
    </xf>
    <xf numFmtId="38" fontId="262" fillId="44" borderId="21" xfId="1632" applyNumberFormat="1" applyFont="1" applyFill="1" applyBorder="1" applyAlignment="1">
      <alignment vertical="center"/>
    </xf>
    <xf numFmtId="2" fontId="252" fillId="44" borderId="21" xfId="2122" applyNumberFormat="1" applyFont="1" applyFill="1" applyBorder="1" applyAlignment="1">
      <alignment vertical="center"/>
    </xf>
    <xf numFmtId="0" fontId="254" fillId="44" borderId="21" xfId="2122" applyFont="1" applyFill="1" applyBorder="1" applyAlignment="1">
      <alignment vertical="center"/>
    </xf>
    <xf numFmtId="38" fontId="258" fillId="44" borderId="0" xfId="0" applyNumberFormat="1" applyFont="1" applyFill="1" applyBorder="1" applyAlignment="1">
      <alignment vertical="top"/>
    </xf>
    <xf numFmtId="38" fontId="255" fillId="44" borderId="21" xfId="2122" applyNumberFormat="1" applyFont="1" applyFill="1" applyBorder="1" applyAlignment="1">
      <alignment vertical="center"/>
    </xf>
    <xf numFmtId="38" fontId="255" fillId="44" borderId="23" xfId="2122" applyNumberFormat="1" applyFont="1" applyFill="1" applyBorder="1" applyAlignment="1">
      <alignment vertical="center"/>
    </xf>
    <xf numFmtId="187" fontId="252" fillId="44" borderId="23" xfId="2122" applyNumberFormat="1" applyFont="1" applyFill="1" applyBorder="1" applyAlignment="1">
      <alignment vertical="center"/>
    </xf>
    <xf numFmtId="196" fontId="8" fillId="0" borderId="154" xfId="0" applyNumberFormat="1" applyFont="1" applyFill="1" applyBorder="1" applyAlignment="1">
      <alignment horizontal="center" vertical="center"/>
    </xf>
    <xf numFmtId="196" fontId="8" fillId="0" borderId="155" xfId="0" applyNumberFormat="1" applyFont="1" applyFill="1" applyBorder="1" applyAlignment="1">
      <alignment horizontal="center" vertical="center"/>
    </xf>
    <xf numFmtId="196" fontId="8" fillId="44" borderId="156" xfId="0" applyNumberFormat="1" applyFont="1" applyFill="1" applyBorder="1" applyAlignment="1">
      <alignment horizontal="center" vertical="center"/>
    </xf>
    <xf numFmtId="196" fontId="13" fillId="0" borderId="154" xfId="69" applyNumberFormat="1" applyFont="1" applyFill="1" applyBorder="1" applyAlignment="1">
      <alignment horizontal="center" vertical="center"/>
    </xf>
    <xf numFmtId="196" fontId="13" fillId="0" borderId="155" xfId="0" applyNumberFormat="1" applyFont="1" applyFill="1" applyBorder="1" applyAlignment="1">
      <alignment horizontal="center" vertical="center"/>
    </xf>
    <xf numFmtId="196" fontId="13" fillId="44" borderId="156" xfId="0" applyNumberFormat="1" applyFont="1" applyFill="1" applyBorder="1" applyAlignment="1">
      <alignment horizontal="center" vertical="center"/>
    </xf>
    <xf numFmtId="196" fontId="13" fillId="0" borderId="154" xfId="0" applyNumberFormat="1" applyFont="1" applyFill="1" applyBorder="1" applyAlignment="1">
      <alignment horizontal="center" vertical="center"/>
    </xf>
    <xf numFmtId="196" fontId="214" fillId="0" borderId="154" xfId="0" applyNumberFormat="1" applyFont="1" applyFill="1" applyBorder="1" applyAlignment="1">
      <alignment horizontal="center" vertical="center"/>
    </xf>
    <xf numFmtId="196" fontId="214" fillId="0" borderId="155" xfId="0" applyNumberFormat="1" applyFont="1" applyFill="1" applyBorder="1" applyAlignment="1">
      <alignment horizontal="center" vertical="center"/>
    </xf>
    <xf numFmtId="196" fontId="8" fillId="0" borderId="157" xfId="0" applyNumberFormat="1" applyFont="1" applyFill="1" applyBorder="1" applyAlignment="1">
      <alignment horizontal="center" vertical="center"/>
    </xf>
    <xf numFmtId="196" fontId="8" fillId="0" borderId="158" xfId="0" applyNumberFormat="1" applyFont="1" applyFill="1" applyBorder="1" applyAlignment="1">
      <alignment horizontal="center" vertical="center"/>
    </xf>
    <xf numFmtId="196" fontId="8" fillId="44" borderId="159" xfId="0" applyNumberFormat="1" applyFont="1" applyFill="1" applyBorder="1" applyAlignment="1">
      <alignment horizontal="center" vertical="center"/>
    </xf>
    <xf numFmtId="255" fontId="8" fillId="44" borderId="57" xfId="1633" applyNumberFormat="1" applyFont="1" applyFill="1" applyBorder="1" applyAlignment="1">
      <alignment vertical="center"/>
    </xf>
    <xf numFmtId="257" fontId="8" fillId="0" borderId="44" xfId="1633" applyNumberFormat="1" applyFont="1" applyFill="1" applyBorder="1" applyAlignment="1">
      <alignment vertical="center"/>
    </xf>
    <xf numFmtId="257" fontId="8" fillId="44" borderId="44" xfId="1633" applyNumberFormat="1" applyFont="1" applyFill="1" applyBorder="1" applyAlignment="1">
      <alignment vertical="center"/>
    </xf>
    <xf numFmtId="257" fontId="8" fillId="44" borderId="21" xfId="1633" applyNumberFormat="1" applyFont="1" applyFill="1" applyBorder="1" applyAlignment="1">
      <alignment vertical="center"/>
    </xf>
    <xf numFmtId="257" fontId="8" fillId="0" borderId="97" xfId="1633" applyNumberFormat="1" applyFont="1" applyFill="1" applyBorder="1" applyAlignment="1">
      <alignment vertical="center"/>
    </xf>
    <xf numFmtId="257" fontId="8" fillId="44" borderId="97" xfId="1633" applyNumberFormat="1" applyFont="1" applyFill="1" applyBorder="1" applyAlignment="1">
      <alignment vertical="center"/>
    </xf>
    <xf numFmtId="257" fontId="8" fillId="44" borderId="13" xfId="1633" applyNumberFormat="1" applyFont="1" applyFill="1" applyBorder="1" applyAlignment="1">
      <alignment vertical="center"/>
    </xf>
    <xf numFmtId="257" fontId="8" fillId="0" borderId="98" xfId="1633" applyNumberFormat="1" applyFont="1" applyFill="1" applyBorder="1" applyAlignment="1">
      <alignment vertical="center"/>
    </xf>
    <xf numFmtId="257" fontId="8" fillId="44" borderId="98" xfId="1633" applyNumberFormat="1" applyFont="1" applyFill="1" applyBorder="1" applyAlignment="1">
      <alignment vertical="center"/>
    </xf>
    <xf numFmtId="257" fontId="8" fillId="44" borderId="57" xfId="1633" applyNumberFormat="1" applyFont="1" applyFill="1" applyBorder="1" applyAlignment="1">
      <alignment vertical="center"/>
    </xf>
    <xf numFmtId="38" fontId="0" fillId="0" borderId="0" xfId="0" applyNumberFormat="1" applyAlignment="1">
      <alignment horizontal="center"/>
    </xf>
    <xf numFmtId="38" fontId="195" fillId="10" borderId="0" xfId="0" applyNumberFormat="1" applyFont="1" applyFill="1" applyBorder="1" applyAlignment="1">
      <alignment horizontal="left" vertical="center"/>
    </xf>
    <xf numFmtId="38" fontId="31" fillId="0" borderId="18" xfId="0" applyNumberFormat="1" applyFont="1" applyFill="1" applyBorder="1" applyAlignment="1">
      <alignment horizontal="center" vertical="center"/>
    </xf>
    <xf numFmtId="37" fontId="8" fillId="0" borderId="8" xfId="0" applyNumberFormat="1" applyFont="1" applyFill="1" applyBorder="1" applyAlignment="1">
      <alignment horizontal="right" vertical="center" wrapText="1"/>
    </xf>
    <xf numFmtId="37" fontId="8" fillId="0" borderId="52" xfId="0" applyNumberFormat="1" applyFont="1" applyFill="1" applyBorder="1" applyAlignment="1">
      <alignment horizontal="right" vertical="center" wrapText="1"/>
    </xf>
    <xf numFmtId="38" fontId="4" fillId="0" borderId="8" xfId="0" applyNumberFormat="1" applyFont="1" applyFill="1" applyBorder="1" applyAlignment="1">
      <alignment horizontal="center"/>
    </xf>
    <xf numFmtId="38" fontId="4" fillId="0" borderId="52" xfId="0" applyNumberFormat="1" applyFont="1" applyFill="1" applyBorder="1" applyAlignment="1">
      <alignment horizontal="center"/>
    </xf>
    <xf numFmtId="38" fontId="35" fillId="12" borderId="8" xfId="0" applyNumberFormat="1" applyFont="1" applyFill="1" applyBorder="1" applyAlignment="1">
      <alignment horizontal="left" vertical="center" wrapText="1"/>
    </xf>
    <xf numFmtId="38" fontId="35" fillId="12" borderId="52" xfId="0" applyNumberFormat="1" applyFont="1" applyFill="1" applyBorder="1" applyAlignment="1">
      <alignment horizontal="left" vertical="center" wrapText="1"/>
    </xf>
    <xf numFmtId="0" fontId="196" fillId="0" borderId="16" xfId="2123" applyNumberFormat="1" applyFont="1" applyFill="1" applyBorder="1" applyAlignment="1" applyProtection="1">
      <alignment horizontal="left" vertical="center"/>
    </xf>
    <xf numFmtId="38" fontId="198" fillId="0" borderId="0" xfId="0" applyNumberFormat="1" applyFont="1" applyBorder="1" applyAlignment="1">
      <alignment horizontal="left" vertical="center"/>
    </xf>
    <xf numFmtId="177" fontId="31" fillId="0" borderId="18" xfId="0" applyNumberFormat="1" applyFont="1" applyFill="1" applyBorder="1" applyAlignment="1">
      <alignment horizontal="center" vertical="center"/>
    </xf>
    <xf numFmtId="38" fontId="8" fillId="12" borderId="100" xfId="0" applyNumberFormat="1" applyFont="1" applyFill="1" applyBorder="1" applyAlignment="1">
      <alignment vertical="center"/>
    </xf>
    <xf numFmtId="38" fontId="13" fillId="12" borderId="100" xfId="0" applyNumberFormat="1" applyFont="1" applyFill="1" applyBorder="1" applyAlignment="1"/>
    <xf numFmtId="38" fontId="5" fillId="12" borderId="21" xfId="0" applyNumberFormat="1" applyFont="1" applyFill="1" applyBorder="1" applyAlignment="1">
      <alignment horizontal="left" vertical="center" indent="1"/>
    </xf>
    <xf numFmtId="38" fontId="5" fillId="12" borderId="21" xfId="0" applyNumberFormat="1" applyFont="1" applyFill="1" applyBorder="1" applyAlignment="1">
      <alignment horizontal="left" indent="1"/>
    </xf>
    <xf numFmtId="38" fontId="35" fillId="12" borderId="21" xfId="0" applyNumberFormat="1" applyFont="1" applyFill="1" applyBorder="1" applyAlignment="1">
      <alignment horizontal="left" vertical="center" indent="1"/>
    </xf>
    <xf numFmtId="38" fontId="166" fillId="12" borderId="21" xfId="0" applyNumberFormat="1" applyFont="1" applyFill="1" applyBorder="1" applyAlignment="1">
      <alignment horizontal="left" indent="1"/>
    </xf>
    <xf numFmtId="38" fontId="5" fillId="12" borderId="21" xfId="0" applyNumberFormat="1" applyFont="1" applyFill="1" applyBorder="1" applyAlignment="1">
      <alignment horizontal="left" vertical="center"/>
    </xf>
    <xf numFmtId="38" fontId="5" fillId="12" borderId="21" xfId="0" applyNumberFormat="1" applyFont="1" applyFill="1" applyBorder="1" applyAlignment="1">
      <alignment horizontal="left"/>
    </xf>
    <xf numFmtId="38" fontId="35" fillId="12" borderId="21" xfId="0" applyNumberFormat="1" applyFont="1" applyFill="1" applyBorder="1" applyAlignment="1">
      <alignment horizontal="left" vertical="center"/>
    </xf>
    <xf numFmtId="38" fontId="166" fillId="12" borderId="21" xfId="0" applyNumberFormat="1" applyFont="1" applyFill="1" applyBorder="1" applyAlignment="1">
      <alignment horizontal="left"/>
    </xf>
    <xf numFmtId="38" fontId="20" fillId="10" borderId="0" xfId="0" applyNumberFormat="1" applyFont="1" applyFill="1" applyBorder="1" applyAlignment="1">
      <alignment horizontal="center" vertical="center"/>
    </xf>
    <xf numFmtId="38" fontId="20" fillId="10" borderId="104" xfId="0" applyNumberFormat="1" applyFont="1" applyFill="1" applyBorder="1" applyAlignment="1">
      <alignment horizontal="center" vertical="center"/>
    </xf>
    <xf numFmtId="38" fontId="35" fillId="12" borderId="21" xfId="0" applyNumberFormat="1" applyFont="1" applyFill="1" applyBorder="1" applyAlignment="1">
      <alignment vertical="center"/>
    </xf>
    <xf numFmtId="38" fontId="166" fillId="12" borderId="21" xfId="0" applyNumberFormat="1" applyFont="1" applyFill="1" applyBorder="1" applyAlignment="1"/>
    <xf numFmtId="38" fontId="43" fillId="10" borderId="141" xfId="0" applyNumberFormat="1" applyFont="1" applyFill="1" applyBorder="1" applyAlignment="1">
      <alignment horizontal="center" vertical="center"/>
    </xf>
    <xf numFmtId="38" fontId="43" fillId="10" borderId="142" xfId="0" applyNumberFormat="1" applyFont="1" applyFill="1" applyBorder="1" applyAlignment="1">
      <alignment horizontal="center" vertical="center"/>
    </xf>
    <xf numFmtId="38" fontId="20" fillId="10" borderId="147" xfId="0" applyNumberFormat="1" applyFont="1" applyFill="1" applyBorder="1" applyAlignment="1">
      <alignment horizontal="center" vertical="center"/>
    </xf>
    <xf numFmtId="38" fontId="31" fillId="0" borderId="18" xfId="0" applyNumberFormat="1" applyFont="1" applyFill="1" applyBorder="1" applyAlignment="1">
      <alignment horizontal="center" vertical="center" wrapText="1"/>
    </xf>
    <xf numFmtId="0" fontId="196" fillId="0" borderId="22" xfId="2123" applyNumberFormat="1" applyFont="1" applyFill="1" applyBorder="1" applyAlignment="1" applyProtection="1">
      <alignment horizontal="left" vertical="center"/>
    </xf>
    <xf numFmtId="38" fontId="44" fillId="10" borderId="105" xfId="0" applyNumberFormat="1" applyFont="1" applyFill="1" applyBorder="1" applyAlignment="1">
      <alignment horizontal="center" vertical="center" wrapText="1"/>
    </xf>
    <xf numFmtId="38" fontId="28" fillId="10" borderId="145" xfId="0" applyNumberFormat="1" applyFont="1" applyFill="1" applyBorder="1" applyAlignment="1">
      <alignment horizontal="center" vertical="center" wrapText="1"/>
    </xf>
    <xf numFmtId="38" fontId="28" fillId="10" borderId="143" xfId="0" applyNumberFormat="1" applyFont="1" applyFill="1" applyBorder="1" applyAlignment="1">
      <alignment horizontal="center" vertical="center" wrapText="1"/>
    </xf>
    <xf numFmtId="38" fontId="44" fillId="10" borderId="106" xfId="0" applyNumberFormat="1" applyFont="1" applyFill="1" applyBorder="1" applyAlignment="1">
      <alignment horizontal="center" vertical="center" wrapText="1"/>
    </xf>
    <xf numFmtId="38" fontId="44" fillId="10" borderId="107" xfId="0" applyNumberFormat="1" applyFont="1" applyFill="1" applyBorder="1" applyAlignment="1">
      <alignment horizontal="center" vertical="center" wrapText="1"/>
    </xf>
    <xf numFmtId="0" fontId="28" fillId="10" borderId="103" xfId="0" applyNumberFormat="1" applyFont="1" applyFill="1" applyBorder="1" applyAlignment="1">
      <alignment horizontal="center" vertical="center" wrapText="1"/>
    </xf>
    <xf numFmtId="0" fontId="28" fillId="10" borderId="108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center" vertical="center" wrapText="1"/>
    </xf>
    <xf numFmtId="0" fontId="8" fillId="12" borderId="0" xfId="2122" applyFont="1" applyFill="1" applyBorder="1" applyAlignment="1">
      <alignment horizontal="center" vertical="center" wrapText="1"/>
    </xf>
    <xf numFmtId="0" fontId="8" fillId="12" borderId="18" xfId="2122" applyFont="1" applyFill="1" applyBorder="1" applyAlignment="1">
      <alignment horizontal="center" vertical="center" wrapText="1"/>
    </xf>
    <xf numFmtId="0" fontId="21" fillId="4" borderId="0" xfId="2123" applyNumberFormat="1" applyFont="1" applyFill="1" applyBorder="1" applyAlignment="1" applyProtection="1">
      <alignment horizontal="left" vertical="center"/>
    </xf>
    <xf numFmtId="0" fontId="28" fillId="10" borderId="0" xfId="2122" applyFont="1" applyFill="1" applyBorder="1" applyAlignment="1">
      <alignment horizontal="center" vertical="center"/>
    </xf>
    <xf numFmtId="0" fontId="13" fillId="12" borderId="0" xfId="2122" applyFont="1" applyFill="1" applyBorder="1" applyAlignment="1">
      <alignment horizontal="center" vertical="center" wrapText="1"/>
    </xf>
    <xf numFmtId="0" fontId="13" fillId="12" borderId="18" xfId="2122" applyFont="1" applyFill="1" applyBorder="1" applyAlignment="1">
      <alignment horizontal="center" vertical="center" wrapText="1"/>
    </xf>
    <xf numFmtId="38" fontId="28" fillId="10" borderId="0" xfId="0" applyNumberFormat="1" applyFont="1" applyFill="1" applyBorder="1" applyAlignment="1">
      <alignment horizontal="center" vertical="center"/>
    </xf>
    <xf numFmtId="38" fontId="28" fillId="10" borderId="18" xfId="0" applyNumberFormat="1" applyFont="1" applyFill="1" applyBorder="1" applyAlignment="1">
      <alignment horizontal="center" vertical="center"/>
    </xf>
    <xf numFmtId="38" fontId="65" fillId="12" borderId="109" xfId="0" applyNumberFormat="1" applyFont="1" applyFill="1" applyBorder="1" applyAlignment="1">
      <alignment horizontal="center" vertical="center"/>
    </xf>
    <xf numFmtId="38" fontId="8" fillId="12" borderId="110" xfId="0" applyNumberFormat="1" applyFont="1" applyFill="1" applyBorder="1" applyAlignment="1">
      <alignment horizontal="center" vertical="center"/>
    </xf>
    <xf numFmtId="38" fontId="8" fillId="12" borderId="144" xfId="0" applyNumberFormat="1" applyFont="1" applyFill="1" applyBorder="1" applyAlignment="1">
      <alignment horizontal="center" vertical="center"/>
    </xf>
    <xf numFmtId="38" fontId="8" fillId="12" borderId="109" xfId="0" applyNumberFormat="1" applyFont="1" applyFill="1" applyBorder="1" applyAlignment="1">
      <alignment horizontal="center" vertical="center"/>
    </xf>
    <xf numFmtId="0" fontId="28" fillId="0" borderId="0" xfId="2122" applyFont="1" applyFill="1" applyBorder="1" applyAlignment="1">
      <alignment horizontal="center" vertical="center" wrapText="1"/>
    </xf>
    <xf numFmtId="0" fontId="28" fillId="10" borderId="111" xfId="2122" applyFont="1" applyFill="1" applyBorder="1" applyAlignment="1">
      <alignment horizontal="center" vertical="center" wrapText="1"/>
    </xf>
    <xf numFmtId="0" fontId="28" fillId="10" borderId="0" xfId="2122" applyFont="1" applyFill="1" applyBorder="1" applyAlignment="1">
      <alignment horizontal="center" vertical="center" wrapText="1"/>
    </xf>
    <xf numFmtId="0" fontId="28" fillId="10" borderId="112" xfId="2122" applyFont="1" applyFill="1" applyBorder="1" applyAlignment="1">
      <alignment horizontal="center" vertical="center" wrapText="1"/>
    </xf>
    <xf numFmtId="0" fontId="196" fillId="0" borderId="113" xfId="2123" applyNumberFormat="1" applyFont="1" applyFill="1" applyBorder="1" applyAlignment="1" applyProtection="1">
      <alignment horizontal="left" vertical="center"/>
    </xf>
    <xf numFmtId="0" fontId="200" fillId="0" borderId="113" xfId="0" applyFont="1" applyBorder="1">
      <alignment vertical="center"/>
    </xf>
    <xf numFmtId="0" fontId="28" fillId="10" borderId="142" xfId="2122" applyFont="1" applyFill="1" applyBorder="1" applyAlignment="1">
      <alignment horizontal="center" vertical="center"/>
    </xf>
    <xf numFmtId="0" fontId="44" fillId="10" borderId="142" xfId="2122" applyFont="1" applyFill="1" applyBorder="1" applyAlignment="1">
      <alignment horizontal="center" vertical="center"/>
    </xf>
    <xf numFmtId="0" fontId="45" fillId="10" borderId="0" xfId="2122" applyFont="1" applyFill="1" applyBorder="1" applyAlignment="1">
      <alignment horizontal="center" vertical="center"/>
    </xf>
    <xf numFmtId="0" fontId="45" fillId="10" borderId="76" xfId="2122" applyFont="1" applyFill="1" applyBorder="1" applyAlignment="1">
      <alignment horizontal="center" vertical="center"/>
    </xf>
    <xf numFmtId="0" fontId="45" fillId="10" borderId="75" xfId="2122" applyFont="1" applyFill="1" applyBorder="1" applyAlignment="1">
      <alignment horizontal="center" vertical="center"/>
    </xf>
    <xf numFmtId="0" fontId="19" fillId="4" borderId="0" xfId="2123" applyNumberFormat="1" applyFont="1" applyFill="1" applyBorder="1" applyAlignment="1" applyProtection="1">
      <alignment horizontal="left" vertical="center"/>
    </xf>
    <xf numFmtId="0" fontId="45" fillId="4" borderId="0" xfId="2122" applyFont="1" applyFill="1" applyBorder="1" applyAlignment="1">
      <alignment horizontal="center" vertical="center"/>
    </xf>
    <xf numFmtId="38" fontId="5" fillId="4" borderId="0" xfId="0" applyNumberFormat="1" applyFont="1" applyFill="1" applyBorder="1" applyAlignment="1">
      <alignment horizontal="left" vertical="center"/>
    </xf>
    <xf numFmtId="38" fontId="45" fillId="10" borderId="0" xfId="0" applyNumberFormat="1" applyFont="1" applyFill="1" applyBorder="1" applyAlignment="1">
      <alignment horizontal="center" vertical="center"/>
    </xf>
    <xf numFmtId="38" fontId="28" fillId="10" borderId="111" xfId="0" applyNumberFormat="1" applyFont="1" applyFill="1" applyBorder="1" applyAlignment="1">
      <alignment horizontal="center" vertical="center"/>
    </xf>
    <xf numFmtId="38" fontId="28" fillId="10" borderId="112" xfId="0" applyNumberFormat="1" applyFont="1" applyFill="1" applyBorder="1" applyAlignment="1">
      <alignment horizontal="center" vertical="center"/>
    </xf>
    <xf numFmtId="38" fontId="6" fillId="12" borderId="114" xfId="0" applyNumberFormat="1" applyFont="1" applyFill="1" applyBorder="1" applyAlignment="1">
      <alignment horizontal="center" vertical="center"/>
    </xf>
    <xf numFmtId="38" fontId="6" fillId="12" borderId="0" xfId="0" applyNumberFormat="1" applyFont="1" applyFill="1" applyBorder="1" applyAlignment="1">
      <alignment horizontal="center" vertical="center"/>
    </xf>
    <xf numFmtId="38" fontId="6" fillId="12" borderId="7" xfId="0" applyNumberFormat="1" applyFont="1" applyFill="1" applyBorder="1" applyAlignment="1">
      <alignment horizontal="center" vertical="center"/>
    </xf>
    <xf numFmtId="38" fontId="35" fillId="12" borderId="114" xfId="0" applyNumberFormat="1" applyFont="1" applyFill="1" applyBorder="1" applyAlignment="1">
      <alignment horizontal="center" vertical="center"/>
    </xf>
    <xf numFmtId="38" fontId="35" fillId="12" borderId="0" xfId="0" applyNumberFormat="1" applyFont="1" applyFill="1" applyBorder="1" applyAlignment="1">
      <alignment horizontal="center" vertical="center"/>
    </xf>
    <xf numFmtId="38" fontId="35" fillId="12" borderId="52" xfId="0" applyNumberFormat="1" applyFont="1" applyFill="1" applyBorder="1" applyAlignment="1">
      <alignment horizontal="center" vertical="center"/>
    </xf>
    <xf numFmtId="38" fontId="6" fillId="12" borderId="13" xfId="0" applyNumberFormat="1" applyFont="1" applyFill="1" applyBorder="1" applyAlignment="1">
      <alignment horizontal="center" vertical="center"/>
    </xf>
    <xf numFmtId="38" fontId="6" fillId="12" borderId="115" xfId="0" applyNumberFormat="1" applyFont="1" applyFill="1" applyBorder="1" applyAlignment="1">
      <alignment horizontal="center" vertical="center"/>
    </xf>
    <xf numFmtId="38" fontId="6" fillId="12" borderId="9" xfId="0" applyNumberFormat="1" applyFont="1" applyFill="1" applyBorder="1" applyAlignment="1">
      <alignment horizontal="center" vertical="center"/>
    </xf>
    <xf numFmtId="38" fontId="6" fillId="12" borderId="116" xfId="0" applyNumberFormat="1" applyFont="1" applyFill="1" applyBorder="1" applyAlignment="1">
      <alignment horizontal="center" vertical="center"/>
    </xf>
    <xf numFmtId="0" fontId="20" fillId="10" borderId="0" xfId="2120" applyFont="1" applyFill="1" applyBorder="1" applyAlignment="1">
      <alignment horizontal="center" vertical="center"/>
    </xf>
    <xf numFmtId="0" fontId="20" fillId="10" borderId="18" xfId="2120" applyFont="1" applyFill="1" applyBorder="1" applyAlignment="1">
      <alignment horizontal="center" vertical="center"/>
    </xf>
    <xf numFmtId="0" fontId="20" fillId="0" borderId="0" xfId="2120" applyFont="1" applyFill="1" applyBorder="1" applyAlignment="1">
      <alignment horizontal="center" vertical="center"/>
    </xf>
    <xf numFmtId="255" fontId="8" fillId="0" borderId="13" xfId="1633" applyNumberFormat="1" applyFont="1" applyFill="1" applyBorder="1" applyAlignment="1">
      <alignment vertical="center"/>
    </xf>
    <xf numFmtId="255" fontId="8" fillId="0" borderId="117" xfId="1633" applyNumberFormat="1" applyFont="1" applyFill="1" applyBorder="1" applyAlignment="1">
      <alignment vertical="center"/>
    </xf>
    <xf numFmtId="38" fontId="4" fillId="0" borderId="118" xfId="1633" applyNumberFormat="1" applyFont="1" applyFill="1" applyBorder="1" applyAlignment="1">
      <alignment horizontal="center" vertical="center"/>
    </xf>
    <xf numFmtId="38" fontId="4" fillId="0" borderId="119" xfId="1633" applyNumberFormat="1" applyFont="1" applyFill="1" applyBorder="1" applyAlignment="1">
      <alignment horizontal="center" vertical="center"/>
    </xf>
    <xf numFmtId="38" fontId="4" fillId="0" borderId="120" xfId="1633" applyNumberFormat="1" applyFont="1" applyFill="1" applyBorder="1" applyAlignment="1">
      <alignment horizontal="center" vertical="center"/>
    </xf>
    <xf numFmtId="38" fontId="65" fillId="12" borderId="13" xfId="0" applyNumberFormat="1" applyFont="1" applyFill="1" applyBorder="1" applyAlignment="1">
      <alignment horizontal="left" vertical="center"/>
    </xf>
    <xf numFmtId="38" fontId="65" fillId="12" borderId="52" xfId="0" applyNumberFormat="1" applyFont="1" applyFill="1" applyBorder="1" applyAlignment="1">
      <alignment horizontal="left" vertical="center"/>
    </xf>
    <xf numFmtId="255" fontId="8" fillId="0" borderId="13" xfId="1633" applyNumberFormat="1" applyFont="1" applyFill="1" applyBorder="1" applyAlignment="1">
      <alignment horizontal="right" vertical="center"/>
    </xf>
    <xf numFmtId="255" fontId="8" fillId="0" borderId="117" xfId="1633" applyNumberFormat="1" applyFont="1" applyFill="1" applyBorder="1" applyAlignment="1">
      <alignment horizontal="right" vertical="center"/>
    </xf>
    <xf numFmtId="38" fontId="28" fillId="0" borderId="0" xfId="0" applyNumberFormat="1" applyFont="1" applyFill="1" applyBorder="1" applyAlignment="1">
      <alignment horizontal="center" vertical="center"/>
    </xf>
    <xf numFmtId="38" fontId="28" fillId="10" borderId="126" xfId="0" applyNumberFormat="1" applyFont="1" applyFill="1" applyBorder="1" applyAlignment="1">
      <alignment horizontal="center" vertical="center"/>
    </xf>
    <xf numFmtId="38" fontId="28" fillId="10" borderId="125" xfId="0" applyNumberFormat="1" applyFont="1" applyFill="1" applyBorder="1" applyAlignment="1">
      <alignment horizontal="center" vertical="center"/>
    </xf>
    <xf numFmtId="38" fontId="28" fillId="10" borderId="123" xfId="0" applyNumberFormat="1" applyFont="1" applyFill="1" applyBorder="1" applyAlignment="1">
      <alignment horizontal="center" vertical="center"/>
    </xf>
    <xf numFmtId="38" fontId="28" fillId="10" borderId="124" xfId="0" applyNumberFormat="1" applyFont="1" applyFill="1" applyBorder="1" applyAlignment="1">
      <alignment horizontal="center" vertical="center"/>
    </xf>
    <xf numFmtId="38" fontId="28" fillId="10" borderId="121" xfId="0" applyNumberFormat="1" applyFont="1" applyFill="1" applyBorder="1" applyAlignment="1">
      <alignment horizontal="center" vertical="center"/>
    </xf>
    <xf numFmtId="38" fontId="28" fillId="10" borderId="122" xfId="0" applyNumberFormat="1" applyFont="1" applyFill="1" applyBorder="1" applyAlignment="1">
      <alignment horizontal="center" vertical="center"/>
    </xf>
    <xf numFmtId="38" fontId="44" fillId="0" borderId="125" xfId="0" applyNumberFormat="1" applyFont="1" applyFill="1" applyBorder="1" applyAlignment="1">
      <alignment horizontal="center" vertical="center" wrapText="1"/>
    </xf>
    <xf numFmtId="38" fontId="28" fillId="0" borderId="125" xfId="0" applyNumberFormat="1" applyFont="1" applyFill="1" applyBorder="1" applyAlignment="1">
      <alignment horizontal="center" vertical="center"/>
    </xf>
  </cellXfs>
  <cellStyles count="2134">
    <cellStyle name="_x000a_386grabber=M" xfId="1"/>
    <cellStyle name="$" xfId="2"/>
    <cellStyle name="$_db진흥" xfId="3"/>
    <cellStyle name="$_견적2" xfId="4"/>
    <cellStyle name="$_기아" xfId="5"/>
    <cellStyle name="?? [0.00]_pr" xfId="6"/>
    <cellStyle name="??&amp;O?&amp;H?_x0008__x000f__x0007_?_x0007__x0001__x0001_" xfId="7"/>
    <cellStyle name="??&amp;O?&amp;H?_x0008_??_x0007__x0001__x0001_" xfId="8"/>
    <cellStyle name="???­" xfId="9"/>
    <cellStyle name="???­ [0]" xfId="10"/>
    <cellStyle name="????_????bal" xfId="11"/>
    <cellStyle name="???­_¸???" xfId="12"/>
    <cellStyle name="???ø" xfId="13"/>
    <cellStyle name="??_product d" xfId="14"/>
    <cellStyle name="?þ¸¶" xfId="15"/>
    <cellStyle name="?þ¸¶ [0]" xfId="16"/>
    <cellStyle name="?þ¸¶_¸???" xfId="17"/>
    <cellStyle name="?霖_?寇bal" xfId="18"/>
    <cellStyle name="?핺_CASH FLOW " xfId="19"/>
    <cellStyle name="_(07-07-19)1사분기 영업실적(잠정) 자료제출요구서(양식-일반)(1)" xfId="20"/>
    <cellStyle name="_~MF3326" xfId="21"/>
    <cellStyle name="_~MF3326_1" xfId="22"/>
    <cellStyle name="_~MF3326_2" xfId="23"/>
    <cellStyle name="_~MF3326_3" xfId="24"/>
    <cellStyle name="_~MF3326_4" xfId="25"/>
    <cellStyle name="_~MF3326_5" xfId="26"/>
    <cellStyle name="_00 개정내용(종합)(2400~2500)(개정)" xfId="27"/>
    <cellStyle name="_030820 Final 확정업무보고서(2003.2분기)" xfId="28"/>
    <cellStyle name="_175기3분기주석(통합은행)" xfId="29"/>
    <cellStyle name="_175기주석(양식)" xfId="30"/>
    <cellStyle name="_2003.3_4분기_경영관리팀_82~83_제출_현호씨" xfId="31"/>
    <cellStyle name="_2003.3_4분기_경영관리팀_할부금융,비용" xfId="32"/>
    <cellStyle name="_2003.4_4분기_경영관리팀(김기배대리)" xfId="33"/>
    <cellStyle name="_2003.4_4분기_경영관리팀(김기배대리)_20040316" xfId="34"/>
    <cellStyle name="_2라_자산건전성(051223)" xfId="35"/>
    <cellStyle name="_2마_수익성(061222)" xfId="36"/>
    <cellStyle name="_6월자산건전성분류(최종)8월26일s" xfId="37"/>
    <cellStyle name="_6월자산건전성분류_최종" xfId="38"/>
    <cellStyle name="_7월누적투자" xfId="39"/>
    <cellStyle name="_b2402-shb-0609-총괄(1)" xfId="40"/>
    <cellStyle name="_B2403F5(0606)_060710" xfId="41"/>
    <cellStyle name="_B2403F5(0606)_060710(최종)" xfId="42"/>
    <cellStyle name="_B2403F5(0610)_061115" xfId="43"/>
    <cellStyle name="_B2506(구조흥)200609" xfId="44"/>
    <cellStyle name="_Book1" xfId="45"/>
    <cellStyle name="_foxz" xfId="46"/>
    <cellStyle name="_leadsheet(스파클)" xfId="47"/>
    <cellStyle name="_Research_Report용(2001년말).xls Chart 1" xfId="48"/>
    <cellStyle name="_Research_Report용(2001년말).xls Chart 10" xfId="49"/>
    <cellStyle name="_Research_Report용(2001년말).xls Chart 11" xfId="50"/>
    <cellStyle name="_Research_Report용(2001년말).xls Chart 12" xfId="51"/>
    <cellStyle name="_Research_Report용(2001년말).xls Chart 13" xfId="52"/>
    <cellStyle name="_Research_Report용(2001년말).xls Chart 14" xfId="53"/>
    <cellStyle name="_Research_Report용(2001년말).xls Chart 15" xfId="54"/>
    <cellStyle name="_Research_Report용(2001년말).xls Chart 16" xfId="55"/>
    <cellStyle name="_Research_Report용(2001년말).xls Chart 17" xfId="56"/>
    <cellStyle name="_Research_Report용(2001년말).xls Chart 18" xfId="57"/>
    <cellStyle name="_Research_Report용(2001년말).xls Chart 19" xfId="58"/>
    <cellStyle name="_Research_Report용(2001년말).xls Chart 2" xfId="59"/>
    <cellStyle name="_Research_Report용(2001년말).xls Chart 20" xfId="60"/>
    <cellStyle name="_Research_Report용(2001년말).xls Chart 21" xfId="61"/>
    <cellStyle name="_Research_Report용(2001년말).xls Chart 3" xfId="62"/>
    <cellStyle name="_Research_Report용(2001년말).xls Chart 4" xfId="63"/>
    <cellStyle name="_Research_Report용(2001년말).xls Chart 5" xfId="64"/>
    <cellStyle name="_Research_Report용(2001년말).xls Chart 6" xfId="65"/>
    <cellStyle name="_Research_Report용(2001년말).xls Chart 7" xfId="66"/>
    <cellStyle name="_Research_Report용(2001년말).xls Chart 8" xfId="67"/>
    <cellStyle name="_Research_Report용(2001년말).xls Chart 9" xfId="68"/>
    <cellStyle name="_Row1" xfId="69"/>
    <cellStyle name="_감독원용재무제표0606" xfId="70"/>
    <cellStyle name="_개발비상각1" xfId="71"/>
    <cellStyle name="_결산200412_0124_v1_감사후_bs pl" xfId="72"/>
    <cellStyle name="_경영관리3분기_박정호대리비용" xfId="73"/>
    <cellStyle name="_경영관리비용(0204김기배)" xfId="74"/>
    <cellStyle name="_경영관리비용(0304김기배최종)" xfId="75"/>
    <cellStyle name="_경영관리팀(2002.4_4분기)" xfId="76"/>
    <cellStyle name="_대차대조표(공고용)_20070630_(최종2)" xfId="77"/>
    <cellStyle name="_대차대조표(공고용)_20070630_(최종2) 2" xfId="78"/>
    <cellStyle name="_대차대조표(공고용)_20070630_(최종2) 2 2" xfId="79"/>
    <cellStyle name="_대차대조표(공고용)_20070630_(최종2) 2 2 2" xfId="80"/>
    <cellStyle name="_대차대조표(공고용)_20070630_(최종2) 2 2 3" xfId="81"/>
    <cellStyle name="_대차대조표(공고용)_20070630_(최종2) 2 3" xfId="82"/>
    <cellStyle name="_대차대조표(공고용)_20070630_(최종2) 2 4" xfId="83"/>
    <cellStyle name="_대차대조표(공고용)_20070630_(최종2) 3" xfId="84"/>
    <cellStyle name="_대차대조표(공고용)_20070630_(최종2) 3 2" xfId="85"/>
    <cellStyle name="_대차대조표(공고용)_20070630_(최종2) 3 3" xfId="86"/>
    <cellStyle name="_대차대조표(공고용)_20070630_(최종2) 4" xfId="87"/>
    <cellStyle name="_대차대조표(공고용)_20070630_(최종2) 4 2" xfId="88"/>
    <cellStyle name="_대차대조표(공고용)_20070630_(최종2) 4 3" xfId="89"/>
    <cellStyle name="_대차대조표(공고용)_20070630_(최종2) 5" xfId="90"/>
    <cellStyle name="_대차대조표(공고용)_20070630_(최종2) 6" xfId="91"/>
    <cellStyle name="_대차대조표(공고용)_20070630_(최종2) 7" xfId="92"/>
    <cellStyle name="_소코드1" xfId="93"/>
    <cellStyle name="_수정사항(8월26일)" xfId="94"/>
    <cellStyle name="_업무보고서(2003.6월)미수금예수금조정" xfId="95"/>
    <cellStyle name="_영업외손익 LS" xfId="96"/>
    <cellStyle name="_오호석부장1014" xfId="97"/>
    <cellStyle name="_오호석차장0625" xfId="98"/>
    <cellStyle name="_오호석차장0723" xfId="99"/>
    <cellStyle name="_이재민과장0206_무형자산상각" xfId="100"/>
    <cellStyle name="_이진우대리(0540725)" xfId="101"/>
    <cellStyle name="_이진우氏0204(2)" xfId="102"/>
    <cellStyle name="_이진우氏0727" xfId="103"/>
    <cellStyle name="_충당금결산0706(최종)" xfId="104"/>
    <cellStyle name="_충당금결산0706(최종) 2" xfId="105"/>
    <cellStyle name="_충당금결산0706(최종) 2 2" xfId="106"/>
    <cellStyle name="_충당금결산0706(최종) 2 2 2" xfId="107"/>
    <cellStyle name="_충당금결산0706(최종) 2 2 3" xfId="108"/>
    <cellStyle name="_충당금결산0706(최종) 2 3" xfId="109"/>
    <cellStyle name="_충당금결산0706(최종) 2 4" xfId="110"/>
    <cellStyle name="_충당금결산0706(최종) 3" xfId="111"/>
    <cellStyle name="_충당금결산0706(최종) 3 2" xfId="112"/>
    <cellStyle name="_충당금결산0706(최종) 3 3" xfId="113"/>
    <cellStyle name="_충당금결산0706(최종) 4" xfId="114"/>
    <cellStyle name="_충당금결산0706(최종) 4 2" xfId="115"/>
    <cellStyle name="_충당금결산0706(최종) 4 3" xfId="116"/>
    <cellStyle name="_충당금결산0706(최종) 5" xfId="117"/>
    <cellStyle name="_충당금결산0706(최종) 6" xfId="118"/>
    <cellStyle name="_충당금결산0706(최종) 7" xfId="119"/>
    <cellStyle name="_판관,제조경비" xfId="120"/>
    <cellStyle name="_판관비 LS" xfId="121"/>
    <cellStyle name="æøè [0.00" xfId="122"/>
    <cellStyle name="æøè_produ" xfId="123"/>
    <cellStyle name="êý [0.00]_pr" xfId="124"/>
    <cellStyle name="êý_product d" xfId="125"/>
    <cellStyle name="w_bookship" xfId="126"/>
    <cellStyle name="0" xfId="127"/>
    <cellStyle name="¹?ºð?²" xfId="128"/>
    <cellStyle name="¹éºðà²" xfId="129"/>
    <cellStyle name="¹eºÐA²_AIAIC°AuCoE² " xfId="130"/>
    <cellStyle name="¹éºðà²_b2432상업용부동산대출현황" xfId="131"/>
    <cellStyle name="20% - 강조색1 10" xfId="132"/>
    <cellStyle name="20% - 강조색1 11" xfId="133"/>
    <cellStyle name="20% - 강조색1 12" xfId="134"/>
    <cellStyle name="20% - 강조색1 13" xfId="135"/>
    <cellStyle name="20% - 강조색1 14" xfId="136"/>
    <cellStyle name="20% - 강조색1 15" xfId="137"/>
    <cellStyle name="20% - 강조색1 16" xfId="138"/>
    <cellStyle name="20% - 강조색1 17" xfId="139"/>
    <cellStyle name="20% - 강조색1 18" xfId="140"/>
    <cellStyle name="20% - 강조색1 19" xfId="141"/>
    <cellStyle name="20% - 강조색1 2" xfId="142"/>
    <cellStyle name="20% - 강조색1 20" xfId="143"/>
    <cellStyle name="20% - 강조색1 21" xfId="144"/>
    <cellStyle name="20% - 강조색1 22" xfId="145"/>
    <cellStyle name="20% - 강조색1 23" xfId="146"/>
    <cellStyle name="20% - 강조색1 24" xfId="147"/>
    <cellStyle name="20% - 강조색1 25" xfId="148"/>
    <cellStyle name="20% - 강조색1 26" xfId="149"/>
    <cellStyle name="20% - 강조색1 27" xfId="150"/>
    <cellStyle name="20% - 강조색1 28" xfId="151"/>
    <cellStyle name="20% - 강조색1 29" xfId="152"/>
    <cellStyle name="20% - 강조색1 3" xfId="153"/>
    <cellStyle name="20% - 강조색1 30" xfId="154"/>
    <cellStyle name="20% - 강조색1 31" xfId="155"/>
    <cellStyle name="20% - 강조색1 4" xfId="156"/>
    <cellStyle name="20% - 강조색1 5" xfId="157"/>
    <cellStyle name="20% - 강조색1 6" xfId="158"/>
    <cellStyle name="20% - 강조색1 7" xfId="159"/>
    <cellStyle name="20% - 강조색1 8" xfId="160"/>
    <cellStyle name="20% - 강조색1 9" xfId="161"/>
    <cellStyle name="20% - 강조색2 10" xfId="162"/>
    <cellStyle name="20% - 강조색2 11" xfId="163"/>
    <cellStyle name="20% - 강조색2 12" xfId="164"/>
    <cellStyle name="20% - 강조색2 13" xfId="165"/>
    <cellStyle name="20% - 강조색2 14" xfId="166"/>
    <cellStyle name="20% - 강조색2 15" xfId="167"/>
    <cellStyle name="20% - 강조색2 16" xfId="168"/>
    <cellStyle name="20% - 강조색2 17" xfId="169"/>
    <cellStyle name="20% - 강조색2 18" xfId="170"/>
    <cellStyle name="20% - 강조색2 19" xfId="171"/>
    <cellStyle name="20% - 강조색2 2" xfId="172"/>
    <cellStyle name="20% - 강조색2 20" xfId="173"/>
    <cellStyle name="20% - 강조색2 21" xfId="174"/>
    <cellStyle name="20% - 강조색2 22" xfId="175"/>
    <cellStyle name="20% - 강조색2 23" xfId="176"/>
    <cellStyle name="20% - 강조색2 24" xfId="177"/>
    <cellStyle name="20% - 강조색2 25" xfId="178"/>
    <cellStyle name="20% - 강조색2 26" xfId="179"/>
    <cellStyle name="20% - 강조색2 27" xfId="180"/>
    <cellStyle name="20% - 강조색2 28" xfId="181"/>
    <cellStyle name="20% - 강조색2 29" xfId="182"/>
    <cellStyle name="20% - 강조색2 3" xfId="183"/>
    <cellStyle name="20% - 강조색2 30" xfId="184"/>
    <cellStyle name="20% - 강조색2 31" xfId="185"/>
    <cellStyle name="20% - 강조색2 4" xfId="186"/>
    <cellStyle name="20% - 강조색2 5" xfId="187"/>
    <cellStyle name="20% - 강조색2 6" xfId="188"/>
    <cellStyle name="20% - 강조색2 7" xfId="189"/>
    <cellStyle name="20% - 강조색2 8" xfId="190"/>
    <cellStyle name="20% - 강조색2 9" xfId="191"/>
    <cellStyle name="20% - 강조색3 10" xfId="192"/>
    <cellStyle name="20% - 강조색3 11" xfId="193"/>
    <cellStyle name="20% - 강조색3 12" xfId="194"/>
    <cellStyle name="20% - 강조색3 13" xfId="195"/>
    <cellStyle name="20% - 강조색3 14" xfId="196"/>
    <cellStyle name="20% - 강조색3 15" xfId="197"/>
    <cellStyle name="20% - 강조색3 16" xfId="198"/>
    <cellStyle name="20% - 강조색3 17" xfId="199"/>
    <cellStyle name="20% - 강조색3 18" xfId="200"/>
    <cellStyle name="20% - 강조색3 19" xfId="201"/>
    <cellStyle name="20% - 강조색3 2" xfId="202"/>
    <cellStyle name="20% - 강조색3 20" xfId="203"/>
    <cellStyle name="20% - 강조색3 21" xfId="204"/>
    <cellStyle name="20% - 강조색3 22" xfId="205"/>
    <cellStyle name="20% - 강조색3 23" xfId="206"/>
    <cellStyle name="20% - 강조색3 24" xfId="207"/>
    <cellStyle name="20% - 강조색3 25" xfId="208"/>
    <cellStyle name="20% - 강조색3 26" xfId="209"/>
    <cellStyle name="20% - 강조색3 27" xfId="210"/>
    <cellStyle name="20% - 강조색3 28" xfId="211"/>
    <cellStyle name="20% - 강조색3 29" xfId="212"/>
    <cellStyle name="20% - 강조색3 3" xfId="213"/>
    <cellStyle name="20% - 강조색3 30" xfId="214"/>
    <cellStyle name="20% - 강조색3 31" xfId="215"/>
    <cellStyle name="20% - 강조색3 4" xfId="216"/>
    <cellStyle name="20% - 강조색3 5" xfId="217"/>
    <cellStyle name="20% - 강조색3 6" xfId="218"/>
    <cellStyle name="20% - 강조색3 7" xfId="219"/>
    <cellStyle name="20% - 강조색3 8" xfId="220"/>
    <cellStyle name="20% - 강조색3 9" xfId="221"/>
    <cellStyle name="20% - 강조색4 10" xfId="222"/>
    <cellStyle name="20% - 강조색4 11" xfId="223"/>
    <cellStyle name="20% - 강조색4 12" xfId="224"/>
    <cellStyle name="20% - 강조색4 13" xfId="225"/>
    <cellStyle name="20% - 강조색4 14" xfId="226"/>
    <cellStyle name="20% - 강조색4 15" xfId="227"/>
    <cellStyle name="20% - 강조색4 16" xfId="228"/>
    <cellStyle name="20% - 강조색4 17" xfId="229"/>
    <cellStyle name="20% - 강조색4 18" xfId="230"/>
    <cellStyle name="20% - 강조색4 19" xfId="231"/>
    <cellStyle name="20% - 강조색4 2" xfId="232"/>
    <cellStyle name="20% - 강조색4 20" xfId="233"/>
    <cellStyle name="20% - 강조색4 21" xfId="234"/>
    <cellStyle name="20% - 강조색4 22" xfId="235"/>
    <cellStyle name="20% - 강조색4 23" xfId="236"/>
    <cellStyle name="20% - 강조색4 24" xfId="237"/>
    <cellStyle name="20% - 강조색4 25" xfId="238"/>
    <cellStyle name="20% - 강조색4 26" xfId="239"/>
    <cellStyle name="20% - 강조색4 27" xfId="240"/>
    <cellStyle name="20% - 강조색4 28" xfId="241"/>
    <cellStyle name="20% - 강조색4 29" xfId="242"/>
    <cellStyle name="20% - 강조색4 3" xfId="243"/>
    <cellStyle name="20% - 강조색4 30" xfId="244"/>
    <cellStyle name="20% - 강조색4 31" xfId="245"/>
    <cellStyle name="20% - 강조색4 4" xfId="246"/>
    <cellStyle name="20% - 강조색4 5" xfId="247"/>
    <cellStyle name="20% - 강조색4 6" xfId="248"/>
    <cellStyle name="20% - 강조색4 7" xfId="249"/>
    <cellStyle name="20% - 강조색4 8" xfId="250"/>
    <cellStyle name="20% - 강조색4 9" xfId="251"/>
    <cellStyle name="20% - 강조색5 10" xfId="252"/>
    <cellStyle name="20% - 강조색5 11" xfId="253"/>
    <cellStyle name="20% - 강조색5 12" xfId="254"/>
    <cellStyle name="20% - 강조색5 13" xfId="255"/>
    <cellStyle name="20% - 강조색5 14" xfId="256"/>
    <cellStyle name="20% - 강조색5 15" xfId="257"/>
    <cellStyle name="20% - 강조색5 16" xfId="258"/>
    <cellStyle name="20% - 강조색5 17" xfId="259"/>
    <cellStyle name="20% - 강조색5 18" xfId="260"/>
    <cellStyle name="20% - 강조색5 19" xfId="261"/>
    <cellStyle name="20% - 강조색5 2" xfId="262"/>
    <cellStyle name="20% - 강조색5 20" xfId="263"/>
    <cellStyle name="20% - 강조색5 21" xfId="264"/>
    <cellStyle name="20% - 강조색5 22" xfId="265"/>
    <cellStyle name="20% - 강조색5 23" xfId="266"/>
    <cellStyle name="20% - 강조색5 24" xfId="267"/>
    <cellStyle name="20% - 강조색5 25" xfId="268"/>
    <cellStyle name="20% - 강조색5 26" xfId="269"/>
    <cellStyle name="20% - 강조색5 27" xfId="270"/>
    <cellStyle name="20% - 강조색5 28" xfId="271"/>
    <cellStyle name="20% - 강조색5 29" xfId="272"/>
    <cellStyle name="20% - 강조색5 3" xfId="273"/>
    <cellStyle name="20% - 강조색5 30" xfId="274"/>
    <cellStyle name="20% - 강조색5 31" xfId="275"/>
    <cellStyle name="20% - 강조색5 4" xfId="276"/>
    <cellStyle name="20% - 강조색5 5" xfId="277"/>
    <cellStyle name="20% - 강조색5 6" xfId="278"/>
    <cellStyle name="20% - 강조색5 7" xfId="279"/>
    <cellStyle name="20% - 강조색5 8" xfId="280"/>
    <cellStyle name="20% - 강조색5 9" xfId="281"/>
    <cellStyle name="20% - 강조색6 10" xfId="282"/>
    <cellStyle name="20% - 강조색6 11" xfId="283"/>
    <cellStyle name="20% - 강조색6 12" xfId="284"/>
    <cellStyle name="20% - 강조색6 13" xfId="285"/>
    <cellStyle name="20% - 강조색6 14" xfId="286"/>
    <cellStyle name="20% - 강조색6 15" xfId="287"/>
    <cellStyle name="20% - 강조색6 16" xfId="288"/>
    <cellStyle name="20% - 강조색6 17" xfId="289"/>
    <cellStyle name="20% - 강조색6 18" xfId="290"/>
    <cellStyle name="20% - 강조색6 19" xfId="291"/>
    <cellStyle name="20% - 강조색6 2" xfId="292"/>
    <cellStyle name="20% - 강조색6 20" xfId="293"/>
    <cellStyle name="20% - 강조색6 21" xfId="294"/>
    <cellStyle name="20% - 강조색6 22" xfId="295"/>
    <cellStyle name="20% - 강조색6 23" xfId="296"/>
    <cellStyle name="20% - 강조색6 24" xfId="297"/>
    <cellStyle name="20% - 강조색6 25" xfId="298"/>
    <cellStyle name="20% - 강조색6 26" xfId="299"/>
    <cellStyle name="20% - 강조색6 27" xfId="300"/>
    <cellStyle name="20% - 강조색6 28" xfId="301"/>
    <cellStyle name="20% - 강조색6 29" xfId="302"/>
    <cellStyle name="20% - 강조색6 3" xfId="303"/>
    <cellStyle name="20% - 강조색6 30" xfId="304"/>
    <cellStyle name="20% - 강조색6 31" xfId="305"/>
    <cellStyle name="20% - 강조색6 4" xfId="306"/>
    <cellStyle name="20% - 강조색6 5" xfId="307"/>
    <cellStyle name="20% - 강조색6 6" xfId="308"/>
    <cellStyle name="20% - 강조색6 7" xfId="309"/>
    <cellStyle name="20% - 강조색6 8" xfId="310"/>
    <cellStyle name="20% - 강조색6 9" xfId="311"/>
    <cellStyle name="40% - 강조색1 10" xfId="312"/>
    <cellStyle name="40% - 강조색1 11" xfId="313"/>
    <cellStyle name="40% - 강조색1 12" xfId="314"/>
    <cellStyle name="40% - 강조색1 13" xfId="315"/>
    <cellStyle name="40% - 강조색1 14" xfId="316"/>
    <cellStyle name="40% - 강조색1 15" xfId="317"/>
    <cellStyle name="40% - 강조색1 16" xfId="318"/>
    <cellStyle name="40% - 강조색1 17" xfId="319"/>
    <cellStyle name="40% - 강조색1 18" xfId="320"/>
    <cellStyle name="40% - 강조색1 19" xfId="321"/>
    <cellStyle name="40% - 강조색1 2" xfId="322"/>
    <cellStyle name="40% - 강조색1 20" xfId="323"/>
    <cellStyle name="40% - 강조색1 21" xfId="324"/>
    <cellStyle name="40% - 강조색1 22" xfId="325"/>
    <cellStyle name="40% - 강조색1 23" xfId="326"/>
    <cellStyle name="40% - 강조색1 24" xfId="327"/>
    <cellStyle name="40% - 강조색1 25" xfId="328"/>
    <cellStyle name="40% - 강조색1 26" xfId="329"/>
    <cellStyle name="40% - 강조색1 27" xfId="330"/>
    <cellStyle name="40% - 강조색1 28" xfId="331"/>
    <cellStyle name="40% - 강조색1 29" xfId="332"/>
    <cellStyle name="40% - 강조색1 3" xfId="333"/>
    <cellStyle name="40% - 강조색1 30" xfId="334"/>
    <cellStyle name="40% - 강조색1 31" xfId="335"/>
    <cellStyle name="40% - 강조색1 4" xfId="336"/>
    <cellStyle name="40% - 강조색1 5" xfId="337"/>
    <cellStyle name="40% - 강조색1 6" xfId="338"/>
    <cellStyle name="40% - 강조색1 7" xfId="339"/>
    <cellStyle name="40% - 강조색1 8" xfId="340"/>
    <cellStyle name="40% - 강조색1 9" xfId="341"/>
    <cellStyle name="40% - 강조색2 10" xfId="342"/>
    <cellStyle name="40% - 강조색2 11" xfId="343"/>
    <cellStyle name="40% - 강조색2 12" xfId="344"/>
    <cellStyle name="40% - 강조색2 13" xfId="345"/>
    <cellStyle name="40% - 강조색2 14" xfId="346"/>
    <cellStyle name="40% - 강조색2 15" xfId="347"/>
    <cellStyle name="40% - 강조색2 16" xfId="348"/>
    <cellStyle name="40% - 강조색2 17" xfId="349"/>
    <cellStyle name="40% - 강조색2 18" xfId="350"/>
    <cellStyle name="40% - 강조색2 19" xfId="351"/>
    <cellStyle name="40% - 강조색2 2" xfId="352"/>
    <cellStyle name="40% - 강조색2 20" xfId="353"/>
    <cellStyle name="40% - 강조색2 21" xfId="354"/>
    <cellStyle name="40% - 강조색2 22" xfId="355"/>
    <cellStyle name="40% - 강조색2 23" xfId="356"/>
    <cellStyle name="40% - 강조색2 24" xfId="357"/>
    <cellStyle name="40% - 강조색2 25" xfId="358"/>
    <cellStyle name="40% - 강조색2 26" xfId="359"/>
    <cellStyle name="40% - 강조색2 27" xfId="360"/>
    <cellStyle name="40% - 강조색2 28" xfId="361"/>
    <cellStyle name="40% - 강조색2 29" xfId="362"/>
    <cellStyle name="40% - 강조색2 3" xfId="363"/>
    <cellStyle name="40% - 강조색2 30" xfId="364"/>
    <cellStyle name="40% - 강조색2 31" xfId="365"/>
    <cellStyle name="40% - 강조색2 4" xfId="366"/>
    <cellStyle name="40% - 강조색2 5" xfId="367"/>
    <cellStyle name="40% - 강조색2 6" xfId="368"/>
    <cellStyle name="40% - 강조색2 7" xfId="369"/>
    <cellStyle name="40% - 강조색2 8" xfId="370"/>
    <cellStyle name="40% - 강조색2 9" xfId="371"/>
    <cellStyle name="40% - 강조색3 10" xfId="372"/>
    <cellStyle name="40% - 강조색3 11" xfId="373"/>
    <cellStyle name="40% - 강조색3 12" xfId="374"/>
    <cellStyle name="40% - 강조색3 13" xfId="375"/>
    <cellStyle name="40% - 강조색3 14" xfId="376"/>
    <cellStyle name="40% - 강조색3 15" xfId="377"/>
    <cellStyle name="40% - 강조색3 16" xfId="378"/>
    <cellStyle name="40% - 강조색3 17" xfId="379"/>
    <cellStyle name="40% - 강조색3 18" xfId="380"/>
    <cellStyle name="40% - 강조색3 19" xfId="381"/>
    <cellStyle name="40% - 강조색3 2" xfId="382"/>
    <cellStyle name="40% - 강조색3 20" xfId="383"/>
    <cellStyle name="40% - 강조색3 21" xfId="384"/>
    <cellStyle name="40% - 강조색3 22" xfId="385"/>
    <cellStyle name="40% - 강조색3 23" xfId="386"/>
    <cellStyle name="40% - 강조색3 24" xfId="387"/>
    <cellStyle name="40% - 강조색3 25" xfId="388"/>
    <cellStyle name="40% - 강조색3 26" xfId="389"/>
    <cellStyle name="40% - 강조색3 27" xfId="390"/>
    <cellStyle name="40% - 강조색3 28" xfId="391"/>
    <cellStyle name="40% - 강조색3 29" xfId="392"/>
    <cellStyle name="40% - 강조색3 3" xfId="393"/>
    <cellStyle name="40% - 강조색3 30" xfId="394"/>
    <cellStyle name="40% - 강조색3 31" xfId="395"/>
    <cellStyle name="40% - 강조색3 4" xfId="396"/>
    <cellStyle name="40% - 강조색3 5" xfId="397"/>
    <cellStyle name="40% - 강조색3 6" xfId="398"/>
    <cellStyle name="40% - 강조색3 7" xfId="399"/>
    <cellStyle name="40% - 강조색3 8" xfId="400"/>
    <cellStyle name="40% - 강조색3 9" xfId="401"/>
    <cellStyle name="40% - 강조색4 10" xfId="402"/>
    <cellStyle name="40% - 강조색4 11" xfId="403"/>
    <cellStyle name="40% - 강조색4 12" xfId="404"/>
    <cellStyle name="40% - 강조색4 13" xfId="405"/>
    <cellStyle name="40% - 강조색4 14" xfId="406"/>
    <cellStyle name="40% - 강조색4 15" xfId="407"/>
    <cellStyle name="40% - 강조색4 16" xfId="408"/>
    <cellStyle name="40% - 강조색4 17" xfId="409"/>
    <cellStyle name="40% - 강조색4 18" xfId="410"/>
    <cellStyle name="40% - 강조색4 19" xfId="411"/>
    <cellStyle name="40% - 강조색4 2" xfId="412"/>
    <cellStyle name="40% - 강조색4 20" xfId="413"/>
    <cellStyle name="40% - 강조색4 21" xfId="414"/>
    <cellStyle name="40% - 강조색4 22" xfId="415"/>
    <cellStyle name="40% - 강조색4 23" xfId="416"/>
    <cellStyle name="40% - 강조색4 24" xfId="417"/>
    <cellStyle name="40% - 강조색4 25" xfId="418"/>
    <cellStyle name="40% - 강조색4 26" xfId="419"/>
    <cellStyle name="40% - 강조색4 27" xfId="420"/>
    <cellStyle name="40% - 강조색4 28" xfId="421"/>
    <cellStyle name="40% - 강조색4 29" xfId="422"/>
    <cellStyle name="40% - 강조색4 3" xfId="423"/>
    <cellStyle name="40% - 강조색4 30" xfId="424"/>
    <cellStyle name="40% - 강조색4 31" xfId="425"/>
    <cellStyle name="40% - 강조색4 4" xfId="426"/>
    <cellStyle name="40% - 강조색4 5" xfId="427"/>
    <cellStyle name="40% - 강조색4 6" xfId="428"/>
    <cellStyle name="40% - 강조색4 7" xfId="429"/>
    <cellStyle name="40% - 강조색4 8" xfId="430"/>
    <cellStyle name="40% - 강조색4 9" xfId="431"/>
    <cellStyle name="40% - 강조색5 10" xfId="432"/>
    <cellStyle name="40% - 강조색5 11" xfId="433"/>
    <cellStyle name="40% - 강조색5 12" xfId="434"/>
    <cellStyle name="40% - 강조색5 13" xfId="435"/>
    <cellStyle name="40% - 강조색5 14" xfId="436"/>
    <cellStyle name="40% - 강조색5 15" xfId="437"/>
    <cellStyle name="40% - 강조색5 16" xfId="438"/>
    <cellStyle name="40% - 강조색5 17" xfId="439"/>
    <cellStyle name="40% - 강조색5 18" xfId="440"/>
    <cellStyle name="40% - 강조색5 19" xfId="441"/>
    <cellStyle name="40% - 강조색5 2" xfId="442"/>
    <cellStyle name="40% - 강조색5 20" xfId="443"/>
    <cellStyle name="40% - 강조색5 21" xfId="444"/>
    <cellStyle name="40% - 강조색5 22" xfId="445"/>
    <cellStyle name="40% - 강조색5 23" xfId="446"/>
    <cellStyle name="40% - 강조색5 24" xfId="447"/>
    <cellStyle name="40% - 강조색5 25" xfId="448"/>
    <cellStyle name="40% - 강조색5 26" xfId="449"/>
    <cellStyle name="40% - 강조색5 27" xfId="450"/>
    <cellStyle name="40% - 강조색5 28" xfId="451"/>
    <cellStyle name="40% - 강조색5 29" xfId="452"/>
    <cellStyle name="40% - 강조색5 3" xfId="453"/>
    <cellStyle name="40% - 강조색5 30" xfId="454"/>
    <cellStyle name="40% - 강조색5 31" xfId="455"/>
    <cellStyle name="40% - 강조색5 4" xfId="456"/>
    <cellStyle name="40% - 강조색5 5" xfId="457"/>
    <cellStyle name="40% - 강조색5 6" xfId="458"/>
    <cellStyle name="40% - 강조색5 7" xfId="459"/>
    <cellStyle name="40% - 강조색5 8" xfId="460"/>
    <cellStyle name="40% - 강조색5 9" xfId="461"/>
    <cellStyle name="40% - 강조색6 10" xfId="462"/>
    <cellStyle name="40% - 강조색6 11" xfId="463"/>
    <cellStyle name="40% - 강조색6 12" xfId="464"/>
    <cellStyle name="40% - 강조색6 13" xfId="465"/>
    <cellStyle name="40% - 강조색6 14" xfId="466"/>
    <cellStyle name="40% - 강조색6 15" xfId="467"/>
    <cellStyle name="40% - 강조색6 16" xfId="468"/>
    <cellStyle name="40% - 강조색6 17" xfId="469"/>
    <cellStyle name="40% - 강조색6 18" xfId="470"/>
    <cellStyle name="40% - 강조색6 19" xfId="471"/>
    <cellStyle name="40% - 강조색6 2" xfId="472"/>
    <cellStyle name="40% - 강조색6 20" xfId="473"/>
    <cellStyle name="40% - 강조색6 21" xfId="474"/>
    <cellStyle name="40% - 강조색6 22" xfId="475"/>
    <cellStyle name="40% - 강조색6 23" xfId="476"/>
    <cellStyle name="40% - 강조색6 24" xfId="477"/>
    <cellStyle name="40% - 강조색6 25" xfId="478"/>
    <cellStyle name="40% - 강조색6 26" xfId="479"/>
    <cellStyle name="40% - 강조색6 27" xfId="480"/>
    <cellStyle name="40% - 강조색6 28" xfId="481"/>
    <cellStyle name="40% - 강조색6 29" xfId="482"/>
    <cellStyle name="40% - 강조색6 3" xfId="483"/>
    <cellStyle name="40% - 강조색6 30" xfId="484"/>
    <cellStyle name="40% - 강조색6 31" xfId="485"/>
    <cellStyle name="40% - 강조색6 4" xfId="486"/>
    <cellStyle name="40% - 강조색6 5" xfId="487"/>
    <cellStyle name="40% - 강조색6 6" xfId="488"/>
    <cellStyle name="40% - 강조색6 7" xfId="489"/>
    <cellStyle name="40% - 강조색6 8" xfId="490"/>
    <cellStyle name="40% - 강조색6 9" xfId="491"/>
    <cellStyle name="60% - 강조색1 10" xfId="492"/>
    <cellStyle name="60% - 강조색1 11" xfId="493"/>
    <cellStyle name="60% - 강조색1 12" xfId="494"/>
    <cellStyle name="60% - 강조색1 13" xfId="495"/>
    <cellStyle name="60% - 강조색1 14" xfId="496"/>
    <cellStyle name="60% - 강조색1 15" xfId="497"/>
    <cellStyle name="60% - 강조색1 16" xfId="498"/>
    <cellStyle name="60% - 강조색1 17" xfId="499"/>
    <cellStyle name="60% - 강조색1 18" xfId="500"/>
    <cellStyle name="60% - 강조색1 19" xfId="501"/>
    <cellStyle name="60% - 강조색1 2" xfId="502"/>
    <cellStyle name="60% - 강조색1 20" xfId="503"/>
    <cellStyle name="60% - 강조색1 21" xfId="504"/>
    <cellStyle name="60% - 강조색1 22" xfId="505"/>
    <cellStyle name="60% - 강조색1 23" xfId="506"/>
    <cellStyle name="60% - 강조색1 24" xfId="507"/>
    <cellStyle name="60% - 강조색1 25" xfId="508"/>
    <cellStyle name="60% - 강조색1 26" xfId="509"/>
    <cellStyle name="60% - 강조색1 27" xfId="510"/>
    <cellStyle name="60% - 강조색1 28" xfId="511"/>
    <cellStyle name="60% - 강조색1 29" xfId="512"/>
    <cellStyle name="60% - 강조색1 3" xfId="513"/>
    <cellStyle name="60% - 강조색1 30" xfId="514"/>
    <cellStyle name="60% - 강조색1 31" xfId="515"/>
    <cellStyle name="60% - 강조색1 4" xfId="516"/>
    <cellStyle name="60% - 강조색1 5" xfId="517"/>
    <cellStyle name="60% - 강조색1 6" xfId="518"/>
    <cellStyle name="60% - 강조색1 7" xfId="519"/>
    <cellStyle name="60% - 강조색1 8" xfId="520"/>
    <cellStyle name="60% - 강조색1 9" xfId="521"/>
    <cellStyle name="60% - 강조색2 10" xfId="522"/>
    <cellStyle name="60% - 강조색2 11" xfId="523"/>
    <cellStyle name="60% - 강조색2 12" xfId="524"/>
    <cellStyle name="60% - 강조색2 13" xfId="525"/>
    <cellStyle name="60% - 강조색2 14" xfId="526"/>
    <cellStyle name="60% - 강조색2 15" xfId="527"/>
    <cellStyle name="60% - 강조색2 16" xfId="528"/>
    <cellStyle name="60% - 강조색2 17" xfId="529"/>
    <cellStyle name="60% - 강조색2 18" xfId="530"/>
    <cellStyle name="60% - 강조색2 19" xfId="531"/>
    <cellStyle name="60% - 강조색2 2" xfId="532"/>
    <cellStyle name="60% - 강조색2 20" xfId="533"/>
    <cellStyle name="60% - 강조색2 21" xfId="534"/>
    <cellStyle name="60% - 강조색2 22" xfId="535"/>
    <cellStyle name="60% - 강조색2 23" xfId="536"/>
    <cellStyle name="60% - 강조색2 24" xfId="537"/>
    <cellStyle name="60% - 강조색2 25" xfId="538"/>
    <cellStyle name="60% - 강조색2 26" xfId="539"/>
    <cellStyle name="60% - 강조색2 27" xfId="540"/>
    <cellStyle name="60% - 강조색2 28" xfId="541"/>
    <cellStyle name="60% - 강조색2 29" xfId="542"/>
    <cellStyle name="60% - 강조색2 3" xfId="543"/>
    <cellStyle name="60% - 강조색2 30" xfId="544"/>
    <cellStyle name="60% - 강조색2 31" xfId="545"/>
    <cellStyle name="60% - 강조색2 4" xfId="546"/>
    <cellStyle name="60% - 강조색2 5" xfId="547"/>
    <cellStyle name="60% - 강조색2 6" xfId="548"/>
    <cellStyle name="60% - 강조색2 7" xfId="549"/>
    <cellStyle name="60% - 강조색2 8" xfId="550"/>
    <cellStyle name="60% - 강조색2 9" xfId="551"/>
    <cellStyle name="60% - 강조색3 10" xfId="552"/>
    <cellStyle name="60% - 강조색3 11" xfId="553"/>
    <cellStyle name="60% - 강조색3 12" xfId="554"/>
    <cellStyle name="60% - 강조색3 13" xfId="555"/>
    <cellStyle name="60% - 강조색3 14" xfId="556"/>
    <cellStyle name="60% - 강조색3 15" xfId="557"/>
    <cellStyle name="60% - 강조색3 16" xfId="558"/>
    <cellStyle name="60% - 강조색3 17" xfId="559"/>
    <cellStyle name="60% - 강조색3 18" xfId="560"/>
    <cellStyle name="60% - 강조색3 19" xfId="561"/>
    <cellStyle name="60% - 강조색3 2" xfId="562"/>
    <cellStyle name="60% - 강조색3 20" xfId="563"/>
    <cellStyle name="60% - 강조색3 21" xfId="564"/>
    <cellStyle name="60% - 강조색3 22" xfId="565"/>
    <cellStyle name="60% - 강조색3 23" xfId="566"/>
    <cellStyle name="60% - 강조색3 24" xfId="567"/>
    <cellStyle name="60% - 강조색3 25" xfId="568"/>
    <cellStyle name="60% - 강조색3 26" xfId="569"/>
    <cellStyle name="60% - 강조색3 27" xfId="570"/>
    <cellStyle name="60% - 강조색3 28" xfId="571"/>
    <cellStyle name="60% - 강조색3 29" xfId="572"/>
    <cellStyle name="60% - 강조색3 3" xfId="573"/>
    <cellStyle name="60% - 강조색3 30" xfId="574"/>
    <cellStyle name="60% - 강조색3 31" xfId="575"/>
    <cellStyle name="60% - 강조색3 4" xfId="576"/>
    <cellStyle name="60% - 강조색3 5" xfId="577"/>
    <cellStyle name="60% - 강조색3 6" xfId="578"/>
    <cellStyle name="60% - 강조색3 7" xfId="579"/>
    <cellStyle name="60% - 강조색3 8" xfId="580"/>
    <cellStyle name="60% - 강조색3 9" xfId="581"/>
    <cellStyle name="60% - 강조색4 10" xfId="582"/>
    <cellStyle name="60% - 강조색4 11" xfId="583"/>
    <cellStyle name="60% - 강조색4 12" xfId="584"/>
    <cellStyle name="60% - 강조색4 13" xfId="585"/>
    <cellStyle name="60% - 강조색4 14" xfId="586"/>
    <cellStyle name="60% - 강조색4 15" xfId="587"/>
    <cellStyle name="60% - 강조색4 16" xfId="588"/>
    <cellStyle name="60% - 강조색4 17" xfId="589"/>
    <cellStyle name="60% - 강조색4 18" xfId="590"/>
    <cellStyle name="60% - 강조색4 19" xfId="591"/>
    <cellStyle name="60% - 강조색4 2" xfId="592"/>
    <cellStyle name="60% - 강조색4 20" xfId="593"/>
    <cellStyle name="60% - 강조색4 21" xfId="594"/>
    <cellStyle name="60% - 강조색4 22" xfId="595"/>
    <cellStyle name="60% - 강조색4 23" xfId="596"/>
    <cellStyle name="60% - 강조색4 24" xfId="597"/>
    <cellStyle name="60% - 강조색4 25" xfId="598"/>
    <cellStyle name="60% - 강조색4 26" xfId="599"/>
    <cellStyle name="60% - 강조색4 27" xfId="600"/>
    <cellStyle name="60% - 강조색4 28" xfId="601"/>
    <cellStyle name="60% - 강조색4 29" xfId="602"/>
    <cellStyle name="60% - 강조색4 3" xfId="603"/>
    <cellStyle name="60% - 강조색4 30" xfId="604"/>
    <cellStyle name="60% - 강조색4 31" xfId="605"/>
    <cellStyle name="60% - 강조색4 4" xfId="606"/>
    <cellStyle name="60% - 강조색4 5" xfId="607"/>
    <cellStyle name="60% - 강조색4 6" xfId="608"/>
    <cellStyle name="60% - 강조색4 7" xfId="609"/>
    <cellStyle name="60% - 강조색4 8" xfId="610"/>
    <cellStyle name="60% - 강조색4 9" xfId="611"/>
    <cellStyle name="60% - 강조색5 10" xfId="612"/>
    <cellStyle name="60% - 강조색5 11" xfId="613"/>
    <cellStyle name="60% - 강조색5 12" xfId="614"/>
    <cellStyle name="60% - 강조색5 13" xfId="615"/>
    <cellStyle name="60% - 강조색5 14" xfId="616"/>
    <cellStyle name="60% - 강조색5 15" xfId="617"/>
    <cellStyle name="60% - 강조색5 16" xfId="618"/>
    <cellStyle name="60% - 강조색5 17" xfId="619"/>
    <cellStyle name="60% - 강조색5 18" xfId="620"/>
    <cellStyle name="60% - 강조색5 19" xfId="621"/>
    <cellStyle name="60% - 강조색5 2" xfId="622"/>
    <cellStyle name="60% - 강조색5 20" xfId="623"/>
    <cellStyle name="60% - 강조색5 21" xfId="624"/>
    <cellStyle name="60% - 강조색5 22" xfId="625"/>
    <cellStyle name="60% - 강조색5 23" xfId="626"/>
    <cellStyle name="60% - 강조색5 24" xfId="627"/>
    <cellStyle name="60% - 강조색5 25" xfId="628"/>
    <cellStyle name="60% - 강조색5 26" xfId="629"/>
    <cellStyle name="60% - 강조색5 27" xfId="630"/>
    <cellStyle name="60% - 강조색5 28" xfId="631"/>
    <cellStyle name="60% - 강조색5 29" xfId="632"/>
    <cellStyle name="60% - 강조색5 3" xfId="633"/>
    <cellStyle name="60% - 강조색5 30" xfId="634"/>
    <cellStyle name="60% - 강조색5 31" xfId="635"/>
    <cellStyle name="60% - 강조색5 4" xfId="636"/>
    <cellStyle name="60% - 강조색5 5" xfId="637"/>
    <cellStyle name="60% - 강조색5 6" xfId="638"/>
    <cellStyle name="60% - 강조색5 7" xfId="639"/>
    <cellStyle name="60% - 강조색5 8" xfId="640"/>
    <cellStyle name="60% - 강조색5 9" xfId="641"/>
    <cellStyle name="60% - 강조색6 10" xfId="642"/>
    <cellStyle name="60% - 강조색6 11" xfId="643"/>
    <cellStyle name="60% - 강조색6 12" xfId="644"/>
    <cellStyle name="60% - 강조색6 13" xfId="645"/>
    <cellStyle name="60% - 강조색6 14" xfId="646"/>
    <cellStyle name="60% - 강조색6 15" xfId="647"/>
    <cellStyle name="60% - 강조색6 16" xfId="648"/>
    <cellStyle name="60% - 강조색6 17" xfId="649"/>
    <cellStyle name="60% - 강조색6 18" xfId="650"/>
    <cellStyle name="60% - 강조색6 19" xfId="651"/>
    <cellStyle name="60% - 강조색6 2" xfId="652"/>
    <cellStyle name="60% - 강조색6 20" xfId="653"/>
    <cellStyle name="60% - 강조색6 21" xfId="654"/>
    <cellStyle name="60% - 강조색6 22" xfId="655"/>
    <cellStyle name="60% - 강조색6 23" xfId="656"/>
    <cellStyle name="60% - 강조색6 24" xfId="657"/>
    <cellStyle name="60% - 강조색6 25" xfId="658"/>
    <cellStyle name="60% - 강조색6 26" xfId="659"/>
    <cellStyle name="60% - 강조색6 27" xfId="660"/>
    <cellStyle name="60% - 강조색6 28" xfId="661"/>
    <cellStyle name="60% - 강조색6 29" xfId="662"/>
    <cellStyle name="60% - 강조색6 3" xfId="663"/>
    <cellStyle name="60% - 강조색6 30" xfId="664"/>
    <cellStyle name="60% - 강조색6 31" xfId="665"/>
    <cellStyle name="60% - 강조색6 4" xfId="666"/>
    <cellStyle name="60% - 강조색6 5" xfId="667"/>
    <cellStyle name="60% - 강조색6 6" xfId="668"/>
    <cellStyle name="60% - 강조색6 7" xfId="669"/>
    <cellStyle name="60% - 강조색6 8" xfId="670"/>
    <cellStyle name="60% - 강조색6 9" xfId="671"/>
    <cellStyle name="Ⅰ" xfId="672"/>
    <cellStyle name="A¨­￠￢￠O [0]_C¡IAo_AoAUAy¡ÆeC¡I" xfId="673"/>
    <cellStyle name="A¨­￠￢￠O_AoAUAy¡ÆeC¡I " xfId="674"/>
    <cellStyle name="Åëè­" xfId="675"/>
    <cellStyle name="Åëè­ [0]" xfId="676"/>
    <cellStyle name="AeE­ [0]_´e¼OAæ´c±Y" xfId="677"/>
    <cellStyle name="Åëè­ [0]_090608_업무보고서 개정_복호화(2)" xfId="678"/>
    <cellStyle name="AeE­ [0]_97MBO" xfId="679"/>
    <cellStyle name="ÅëÈ­ [0]_97MBO" xfId="680"/>
    <cellStyle name="AeE­ [0]_97MBO (2)" xfId="681"/>
    <cellStyle name="ÅëÈ­ [0]_97MBO (2)" xfId="682"/>
    <cellStyle name="AeE­ [0]_97MBO (2) 10" xfId="683"/>
    <cellStyle name="ÅëÈ­ [0]_Áõ±Ç Project" xfId="684"/>
    <cellStyle name="AeE­ [0]_Ao±C Project 10" xfId="685"/>
    <cellStyle name="ÅëÈ­ [0]_ÇÒºÎ project" xfId="686"/>
    <cellStyle name="AeE­ [0]_COºI project 10" xfId="687"/>
    <cellStyle name="ÅëÈ­ [0]_laroux" xfId="688"/>
    <cellStyle name="AeE­ [0]_laroux 2" xfId="689"/>
    <cellStyle name="ÅëÈ­ [0]_laroux_1" xfId="690"/>
    <cellStyle name="AeE­ [0]_laroux_1 10" xfId="691"/>
    <cellStyle name="ÅëÈ­ [0]_laroux_2" xfId="692"/>
    <cellStyle name="AeE­ [0]_laroux_3" xfId="693"/>
    <cellStyle name="ÅëÈ­ [0]_laroux_3" xfId="694"/>
    <cellStyle name="AeE­ [0]_laroux_3 10" xfId="695"/>
    <cellStyle name="ÅëÈ­ [0]_laroux_4" xfId="696"/>
    <cellStyle name="AeE­ [0]_laroux_5" xfId="697"/>
    <cellStyle name="ÅëÈ­ [0]_laroux_5" xfId="698"/>
    <cellStyle name="AeE­ [0]_MBO_0" xfId="699"/>
    <cellStyle name="ÅëÈ­ [0]_MBO_0" xfId="700"/>
    <cellStyle name="AeE­ [0]_MBO_0 10" xfId="701"/>
    <cellStyle name="ÅëÈ­ [0]_MBO96_1" xfId="702"/>
    <cellStyle name="AeE­ [0]_MBO96_1 10" xfId="703"/>
    <cellStyle name="AeE­_´e¼OAæ´c±Y" xfId="704"/>
    <cellStyle name="Åëè­_¸åãâ" xfId="705"/>
    <cellStyle name="AeE­_±aA¸" xfId="706"/>
    <cellStyle name="Åëè­_090608_업무보고서 개정_복호화(2)" xfId="707"/>
    <cellStyle name="AeE­_97MBO" xfId="708"/>
    <cellStyle name="ÅëÈ­_97MBO" xfId="709"/>
    <cellStyle name="AeE­_97MBO (2)" xfId="710"/>
    <cellStyle name="ÅëÈ­_97MBO (2)" xfId="711"/>
    <cellStyle name="AeE­_97MBO (2) 10" xfId="712"/>
    <cellStyle name="ÅëÈ­_Á¦Ãâ¿ë" xfId="713"/>
    <cellStyle name="AeE­_Ao±C Project" xfId="714"/>
    <cellStyle name="ÅëÈ­_Áõ±Ç Project" xfId="715"/>
    <cellStyle name="AeE­_Ao±C Project 10" xfId="716"/>
    <cellStyle name="ÅëÈ­_ÇÒºÎ project" xfId="717"/>
    <cellStyle name="AeE­_COºI project 10" xfId="718"/>
    <cellStyle name="ÅëÈ­_laroux" xfId="719"/>
    <cellStyle name="AeE­_laroux 2" xfId="720"/>
    <cellStyle name="ÅëÈ­_laroux_1" xfId="721"/>
    <cellStyle name="AeE­_laroux_1 10" xfId="722"/>
    <cellStyle name="ÅëÈ­_laroux_2" xfId="723"/>
    <cellStyle name="AeE­_laroux_3" xfId="724"/>
    <cellStyle name="ÅëÈ­_laroux_3" xfId="725"/>
    <cellStyle name="AeE­_laroux_3 10" xfId="726"/>
    <cellStyle name="ÅëÈ­_laroux_4" xfId="727"/>
    <cellStyle name="AeE­_laroux_5" xfId="728"/>
    <cellStyle name="ÅëÈ­_laroux_5" xfId="729"/>
    <cellStyle name="AeE­_MBO_0" xfId="730"/>
    <cellStyle name="ÅëÈ­_MBO_0" xfId="731"/>
    <cellStyle name="AeE­_MBO_0 10" xfId="732"/>
    <cellStyle name="ÅëÈ­_MBO96_1" xfId="733"/>
    <cellStyle name="AeE­_MBO96_1 10" xfId="734"/>
    <cellStyle name="ALIGNMENT" xfId="735"/>
    <cellStyle name="Arial 10" xfId="736"/>
    <cellStyle name="Arial 12" xfId="737"/>
    <cellStyle name="Äþ¸¶" xfId="738"/>
    <cellStyle name="Äþ¸¶ [0]" xfId="739"/>
    <cellStyle name="AÞ¸¶ [0]_±aA¸" xfId="740"/>
    <cellStyle name="Äþ¸¶ [0]_090608_업무보고서 개정_복호화(2)" xfId="741"/>
    <cellStyle name="AÞ¸¶ [0]_97MBO (2)" xfId="742"/>
    <cellStyle name="ÄÞ¸¶ [0]_97MBO (2)" xfId="743"/>
    <cellStyle name="AÞ¸¶ [0]_97MBO (2) 10" xfId="744"/>
    <cellStyle name="ÄÞ¸¶ [0]_Áõ±Ç Project" xfId="745"/>
    <cellStyle name="AÞ¸¶ [0]_Ao±C Project 10" xfId="746"/>
    <cellStyle name="ÄÞ¸¶ [0]_ÇÒºÎ project" xfId="747"/>
    <cellStyle name="AÞ¸¶ [0]_COºI project 10" xfId="748"/>
    <cellStyle name="ÄÞ¸¶ [0]_laroux" xfId="749"/>
    <cellStyle name="AÞ¸¶ [0]_laroux 2" xfId="750"/>
    <cellStyle name="ÄÞ¸¶ [0]_laroux_1" xfId="751"/>
    <cellStyle name="AÞ¸¶ [0]_laroux_2" xfId="752"/>
    <cellStyle name="ÄÞ¸¶ [0]_laroux_2" xfId="753"/>
    <cellStyle name="AÞ¸¶ [0]_laroux_2 10" xfId="754"/>
    <cellStyle name="ÄÞ¸¶ [0]_laroux_3" xfId="755"/>
    <cellStyle name="AÞ¸¶ [0]_MBO_0" xfId="756"/>
    <cellStyle name="ÄÞ¸¶ [0]_MBO_0" xfId="757"/>
    <cellStyle name="AÞ¸¶ [0]_MBO_0 10" xfId="758"/>
    <cellStyle name="ÄÞ¸¶ [0]_MBO96_1" xfId="759"/>
    <cellStyle name="AÞ¸¶ [0]_MBO96_1 10" xfId="760"/>
    <cellStyle name="Äþ¸¶_¸åãâ" xfId="761"/>
    <cellStyle name="AÞ¸¶_±aA¸" xfId="762"/>
    <cellStyle name="Äþ¸¶_090608_업무보고서 개정_복호화(2)" xfId="763"/>
    <cellStyle name="AÞ¸¶_¾ÆA§AU¾÷" xfId="764"/>
    <cellStyle name="ÄÞ¸¶_97MBO" xfId="765"/>
    <cellStyle name="AÞ¸¶_97MBO (2)" xfId="766"/>
    <cellStyle name="ÄÞ¸¶_97MBO (2)" xfId="767"/>
    <cellStyle name="AÞ¸¶_97MBO (2) 10" xfId="768"/>
    <cellStyle name="ÄÞ¸¶_Á¦Ãâ¿ë" xfId="769"/>
    <cellStyle name="AÞ¸¶_Ao±C Project" xfId="770"/>
    <cellStyle name="ÄÞ¸¶_Áõ±Ç Project" xfId="771"/>
    <cellStyle name="AÞ¸¶_Ao±C Project 10" xfId="772"/>
    <cellStyle name="ÄÞ¸¶_ÇÒºÎ project" xfId="773"/>
    <cellStyle name="AÞ¸¶_COºI project 10" xfId="774"/>
    <cellStyle name="ÄÞ¸¶_laroux" xfId="775"/>
    <cellStyle name="AÞ¸¶_laroux 2" xfId="776"/>
    <cellStyle name="ÄÞ¸¶_laroux_1" xfId="777"/>
    <cellStyle name="AÞ¸¶_laroux_2" xfId="778"/>
    <cellStyle name="ÄÞ¸¶_laroux_2" xfId="779"/>
    <cellStyle name="AÞ¸¶_laroux_2 10" xfId="780"/>
    <cellStyle name="ÄÞ¸¶_laroux_3" xfId="781"/>
    <cellStyle name="AÞ¸¶_laroux_4" xfId="782"/>
    <cellStyle name="ÄÞ¸¶_laroux_4" xfId="783"/>
    <cellStyle name="AÞ¸¶_MBO_0" xfId="784"/>
    <cellStyle name="ÄÞ¸¶_MBO_0" xfId="785"/>
    <cellStyle name="AÞ¸¶_MBO_0 10" xfId="786"/>
    <cellStyle name="ÄÞ¸¶_MBO96_1" xfId="787"/>
    <cellStyle name="AÞ¸¶_MBO96_1 10" xfId="788"/>
    <cellStyle name="blue$00" xfId="789"/>
    <cellStyle name="British Pound" xfId="790"/>
    <cellStyle name="C¡?A¨ª_¡¾????Ubal" xfId="791"/>
    <cellStyle name="C¡ÍA¨ª_¡¾©ö¢¯Ubal" xfId="792"/>
    <cellStyle name="Ç¥áø" xfId="793"/>
    <cellStyle name="C￥AØ_´e¼OAæ´c±Y" xfId="794"/>
    <cellStyle name="Ç¥ÁØ_±¹¿Übal" xfId="795"/>
    <cellStyle name="C￥AØ_±¹¿UPL" xfId="796"/>
    <cellStyle name="Ç¥ÁØ_±¹¿ÜPL" xfId="797"/>
    <cellStyle name="C￥AØ_¾ÆA§AU¾÷" xfId="798"/>
    <cellStyle name="Ç¥ÁØ_96_5¹é°îºñ¿ë" xfId="799"/>
    <cellStyle name="C￥AØ_A|Aa¿e" xfId="800"/>
    <cellStyle name="Ç¥ÁØ_Á¦Ãâ¿ë" xfId="801"/>
    <cellStyle name="C￥AØ_laroux" xfId="802"/>
    <cellStyle name="Ç¥ÁØ_laroux" xfId="803"/>
    <cellStyle name="C￥AØ_laroux 10" xfId="804"/>
    <cellStyle name="Ç¥ÁØ_laroux_1" xfId="805"/>
    <cellStyle name="C￥AØ_laroux_2" xfId="806"/>
    <cellStyle name="Ç¥ÁØ_laroux_2" xfId="807"/>
    <cellStyle name="C￥AØ_laroux_3" xfId="808"/>
    <cellStyle name="Ç¥ÁØ_laroux_3" xfId="809"/>
    <cellStyle name="C￥AØ_laroux_4" xfId="810"/>
    <cellStyle name="Ç¥ÁØ_laroux_4" xfId="811"/>
    <cellStyle name="C￥AØ_laroux_5" xfId="812"/>
    <cellStyle name="Ç¥ÁØ_laroux_5" xfId="813"/>
    <cellStyle name="C￥AØ_Sheet1" xfId="814"/>
    <cellStyle name="Ç¥ÁØ_Sheet1" xfId="815"/>
    <cellStyle name="Calc Currency (0)" xfId="816"/>
    <cellStyle name="Case" xfId="817"/>
    <cellStyle name="category" xfId="818"/>
    <cellStyle name="Comma" xfId="819"/>
    <cellStyle name="Comma  - Style1" xfId="820"/>
    <cellStyle name="Comma  - Style1 10" xfId="821"/>
    <cellStyle name="Comma  - Style1 11" xfId="822"/>
    <cellStyle name="Comma  - Style1 12" xfId="823"/>
    <cellStyle name="Comma  - Style1 13" xfId="824"/>
    <cellStyle name="Comma  - Style1 14" xfId="825"/>
    <cellStyle name="Comma  - Style1 15" xfId="826"/>
    <cellStyle name="Comma  - Style1 16" xfId="827"/>
    <cellStyle name="Comma  - Style1 2" xfId="828"/>
    <cellStyle name="Comma  - Style1 3" xfId="829"/>
    <cellStyle name="Comma  - Style1 4" xfId="830"/>
    <cellStyle name="Comma  - Style1 5" xfId="831"/>
    <cellStyle name="Comma  - Style1 6" xfId="832"/>
    <cellStyle name="Comma  - Style1 7" xfId="833"/>
    <cellStyle name="Comma  - Style1 8" xfId="834"/>
    <cellStyle name="Comma  - Style1 9" xfId="835"/>
    <cellStyle name="Comma  - Style2" xfId="836"/>
    <cellStyle name="Comma  - Style2 10" xfId="837"/>
    <cellStyle name="Comma  - Style2 11" xfId="838"/>
    <cellStyle name="Comma  - Style2 12" xfId="839"/>
    <cellStyle name="Comma  - Style2 13" xfId="840"/>
    <cellStyle name="Comma  - Style2 14" xfId="841"/>
    <cellStyle name="Comma  - Style2 15" xfId="842"/>
    <cellStyle name="Comma  - Style2 16" xfId="843"/>
    <cellStyle name="Comma  - Style2 2" xfId="844"/>
    <cellStyle name="Comma  - Style2 3" xfId="845"/>
    <cellStyle name="Comma  - Style2 4" xfId="846"/>
    <cellStyle name="Comma  - Style2 5" xfId="847"/>
    <cellStyle name="Comma  - Style2 6" xfId="848"/>
    <cellStyle name="Comma  - Style2 7" xfId="849"/>
    <cellStyle name="Comma  - Style2 8" xfId="850"/>
    <cellStyle name="Comma  - Style2 9" xfId="851"/>
    <cellStyle name="Comma  - Style3" xfId="852"/>
    <cellStyle name="Comma  - Style3 10" xfId="853"/>
    <cellStyle name="Comma  - Style3 11" xfId="854"/>
    <cellStyle name="Comma  - Style3 12" xfId="855"/>
    <cellStyle name="Comma  - Style3 13" xfId="856"/>
    <cellStyle name="Comma  - Style3 14" xfId="857"/>
    <cellStyle name="Comma  - Style3 15" xfId="858"/>
    <cellStyle name="Comma  - Style3 16" xfId="859"/>
    <cellStyle name="Comma  - Style3 2" xfId="860"/>
    <cellStyle name="Comma  - Style3 3" xfId="861"/>
    <cellStyle name="Comma  - Style3 4" xfId="862"/>
    <cellStyle name="Comma  - Style3 5" xfId="863"/>
    <cellStyle name="Comma  - Style3 6" xfId="864"/>
    <cellStyle name="Comma  - Style3 7" xfId="865"/>
    <cellStyle name="Comma  - Style3 8" xfId="866"/>
    <cellStyle name="Comma  - Style3 9" xfId="867"/>
    <cellStyle name="Comma  - Style4" xfId="868"/>
    <cellStyle name="Comma  - Style4 10" xfId="869"/>
    <cellStyle name="Comma  - Style4 11" xfId="870"/>
    <cellStyle name="Comma  - Style4 12" xfId="871"/>
    <cellStyle name="Comma  - Style4 13" xfId="872"/>
    <cellStyle name="Comma  - Style4 14" xfId="873"/>
    <cellStyle name="Comma  - Style4 15" xfId="874"/>
    <cellStyle name="Comma  - Style4 16" xfId="875"/>
    <cellStyle name="Comma  - Style4 2" xfId="876"/>
    <cellStyle name="Comma  - Style4 3" xfId="877"/>
    <cellStyle name="Comma  - Style4 4" xfId="878"/>
    <cellStyle name="Comma  - Style4 5" xfId="879"/>
    <cellStyle name="Comma  - Style4 6" xfId="880"/>
    <cellStyle name="Comma  - Style4 7" xfId="881"/>
    <cellStyle name="Comma  - Style4 8" xfId="882"/>
    <cellStyle name="Comma  - Style4 9" xfId="883"/>
    <cellStyle name="Comma  - Style5" xfId="884"/>
    <cellStyle name="Comma  - Style5 10" xfId="885"/>
    <cellStyle name="Comma  - Style5 11" xfId="886"/>
    <cellStyle name="Comma  - Style5 12" xfId="887"/>
    <cellStyle name="Comma  - Style5 13" xfId="888"/>
    <cellStyle name="Comma  - Style5 14" xfId="889"/>
    <cellStyle name="Comma  - Style5 15" xfId="890"/>
    <cellStyle name="Comma  - Style5 16" xfId="891"/>
    <cellStyle name="Comma  - Style5 2" xfId="892"/>
    <cellStyle name="Comma  - Style5 3" xfId="893"/>
    <cellStyle name="Comma  - Style5 4" xfId="894"/>
    <cellStyle name="Comma  - Style5 5" xfId="895"/>
    <cellStyle name="Comma  - Style5 6" xfId="896"/>
    <cellStyle name="Comma  - Style5 7" xfId="897"/>
    <cellStyle name="Comma  - Style5 8" xfId="898"/>
    <cellStyle name="Comma  - Style5 9" xfId="899"/>
    <cellStyle name="Comma  - Style6" xfId="900"/>
    <cellStyle name="Comma  - Style6 10" xfId="901"/>
    <cellStyle name="Comma  - Style6 11" xfId="902"/>
    <cellStyle name="Comma  - Style6 12" xfId="903"/>
    <cellStyle name="Comma  - Style6 13" xfId="904"/>
    <cellStyle name="Comma  - Style6 14" xfId="905"/>
    <cellStyle name="Comma  - Style6 15" xfId="906"/>
    <cellStyle name="Comma  - Style6 16" xfId="907"/>
    <cellStyle name="Comma  - Style6 2" xfId="908"/>
    <cellStyle name="Comma  - Style6 3" xfId="909"/>
    <cellStyle name="Comma  - Style6 4" xfId="910"/>
    <cellStyle name="Comma  - Style6 5" xfId="911"/>
    <cellStyle name="Comma  - Style6 6" xfId="912"/>
    <cellStyle name="Comma  - Style6 7" xfId="913"/>
    <cellStyle name="Comma  - Style6 8" xfId="914"/>
    <cellStyle name="Comma  - Style6 9" xfId="915"/>
    <cellStyle name="Comma  - Style7" xfId="916"/>
    <cellStyle name="Comma  - Style7 10" xfId="917"/>
    <cellStyle name="Comma  - Style7 11" xfId="918"/>
    <cellStyle name="Comma  - Style7 12" xfId="919"/>
    <cellStyle name="Comma  - Style7 13" xfId="920"/>
    <cellStyle name="Comma  - Style7 14" xfId="921"/>
    <cellStyle name="Comma  - Style7 15" xfId="922"/>
    <cellStyle name="Comma  - Style7 16" xfId="923"/>
    <cellStyle name="Comma  - Style7 2" xfId="924"/>
    <cellStyle name="Comma  - Style7 3" xfId="925"/>
    <cellStyle name="Comma  - Style7 4" xfId="926"/>
    <cellStyle name="Comma  - Style7 5" xfId="927"/>
    <cellStyle name="Comma  - Style7 6" xfId="928"/>
    <cellStyle name="Comma  - Style7 7" xfId="929"/>
    <cellStyle name="Comma  - Style7 8" xfId="930"/>
    <cellStyle name="Comma  - Style7 9" xfId="931"/>
    <cellStyle name="Comma  - Style8" xfId="932"/>
    <cellStyle name="Comma  - Style8 10" xfId="933"/>
    <cellStyle name="Comma  - Style8 11" xfId="934"/>
    <cellStyle name="Comma  - Style8 12" xfId="935"/>
    <cellStyle name="Comma  - Style8 13" xfId="936"/>
    <cellStyle name="Comma  - Style8 14" xfId="937"/>
    <cellStyle name="Comma  - Style8 15" xfId="938"/>
    <cellStyle name="Comma  - Style8 16" xfId="939"/>
    <cellStyle name="Comma  - Style8 2" xfId="940"/>
    <cellStyle name="Comma  - Style8 3" xfId="941"/>
    <cellStyle name="Comma  - Style8 4" xfId="942"/>
    <cellStyle name="Comma  - Style8 5" xfId="943"/>
    <cellStyle name="Comma  - Style8 6" xfId="944"/>
    <cellStyle name="Comma  - Style8 7" xfId="945"/>
    <cellStyle name="Comma  - Style8 8" xfId="946"/>
    <cellStyle name="Comma  - Style8 9" xfId="947"/>
    <cellStyle name="Comma [0]" xfId="948"/>
    <cellStyle name="comma zerodec" xfId="949"/>
    <cellStyle name="Comma_ sg&amp;a br" xfId="950"/>
    <cellStyle name="Comma0" xfId="951"/>
    <cellStyle name="Copied" xfId="952"/>
    <cellStyle name="Currency" xfId="953"/>
    <cellStyle name="Currency [0]" xfId="954"/>
    <cellStyle name="currency-$" xfId="955"/>
    <cellStyle name="currency-$ 2" xfId="956"/>
    <cellStyle name="currency-$ 3" xfId="957"/>
    <cellStyle name="currency-$ 4" xfId="958"/>
    <cellStyle name="currency-$ 5" xfId="959"/>
    <cellStyle name="currency-$ 6" xfId="960"/>
    <cellStyle name="currency-$ 7" xfId="961"/>
    <cellStyle name="Currency_ sg&amp;a" xfId="962"/>
    <cellStyle name="Currency0" xfId="963"/>
    <cellStyle name="Currency1" xfId="964"/>
    <cellStyle name="Currency1 10" xfId="965"/>
    <cellStyle name="Currency1 2" xfId="966"/>
    <cellStyle name="Currency1 3" xfId="967"/>
    <cellStyle name="Currency1 4" xfId="968"/>
    <cellStyle name="Currency1 5" xfId="969"/>
    <cellStyle name="Currency1 6" xfId="970"/>
    <cellStyle name="Currency1 7" xfId="971"/>
    <cellStyle name="Currency1 8" xfId="972"/>
    <cellStyle name="Currency1 9" xfId="973"/>
    <cellStyle name="Date" xfId="974"/>
    <cellStyle name="Dollar (zero dec)" xfId="975"/>
    <cellStyle name="Double Accounting" xfId="976"/>
    <cellStyle name="Entered" xfId="977"/>
    <cellStyle name="Euro" xfId="978"/>
    <cellStyle name="Fixed" xfId="979"/>
    <cellStyle name="Followed Hyperlink_0331longsht" xfId="980"/>
    <cellStyle name="Grey" xfId="981"/>
    <cellStyle name="Grey 2" xfId="982"/>
    <cellStyle name="HEADER" xfId="983"/>
    <cellStyle name="Header1" xfId="984"/>
    <cellStyle name="Header2" xfId="985"/>
    <cellStyle name="Header2 2" xfId="986"/>
    <cellStyle name="Header2 3" xfId="987"/>
    <cellStyle name="Header2 4" xfId="988"/>
    <cellStyle name="Header2 5" xfId="989"/>
    <cellStyle name="Header2 6" xfId="990"/>
    <cellStyle name="Header2 7" xfId="991"/>
    <cellStyle name="Heading" xfId="992"/>
    <cellStyle name="Heading 1" xfId="993"/>
    <cellStyle name="Heading 2" xfId="994"/>
    <cellStyle name="Heading1" xfId="995"/>
    <cellStyle name="Heading2" xfId="996"/>
    <cellStyle name="HeadingS" xfId="997"/>
    <cellStyle name="Hyperlink" xfId="998"/>
    <cellStyle name="Input" xfId="999"/>
    <cellStyle name="Input [yellow]" xfId="1000"/>
    <cellStyle name="Input [yellow] 2" xfId="1001"/>
    <cellStyle name="Input [yellow] 2 2" xfId="1002"/>
    <cellStyle name="Input [yellow] 3" xfId="1003"/>
    <cellStyle name="Input [yellow] 4" xfId="1004"/>
    <cellStyle name="Input [yellow] 5" xfId="1005"/>
    <cellStyle name="Input [yellow] 6" xfId="1006"/>
    <cellStyle name="Input [yellow] 7" xfId="1007"/>
    <cellStyle name="Input [yellow] 8" xfId="1008"/>
    <cellStyle name="InputBlueFont" xfId="1009"/>
    <cellStyle name="left" xfId="1010"/>
    <cellStyle name="MenuHeading" xfId="1011"/>
    <cellStyle name="Millares [0]_PERSONAL" xfId="1012"/>
    <cellStyle name="Millares_PERSONAL" xfId="1013"/>
    <cellStyle name="Milliers [0]_Arabian Spec" xfId="1014"/>
    <cellStyle name="Milliers_Arabian Spec" xfId="1015"/>
    <cellStyle name="MLHeaderSection" xfId="1016"/>
    <cellStyle name="Model" xfId="1017"/>
    <cellStyle name="Mon?aire [0]_Arabian Spec" xfId="1018"/>
    <cellStyle name="Mon?aire_Arabian Spec" xfId="1019"/>
    <cellStyle name="Moneda [0]_CONTENCION CONDELL 25.051" xfId="1020"/>
    <cellStyle name="Moneda_CONTENCION CONDELL 25.051" xfId="1021"/>
    <cellStyle name="Multiple" xfId="1022"/>
    <cellStyle name="Multiple0" xfId="1023"/>
    <cellStyle name="no dec" xfId="1024"/>
    <cellStyle name="Normal" xfId="1025"/>
    <cellStyle name="Normal - Style1" xfId="1026"/>
    <cellStyle name="Normal - Style1 2" xfId="1027"/>
    <cellStyle name="Normal - Style2" xfId="1028"/>
    <cellStyle name="Normal - Style3" xfId="1029"/>
    <cellStyle name="Normal - Style4" xfId="1030"/>
    <cellStyle name="Normal - Style5" xfId="1031"/>
    <cellStyle name="Normal - Style6" xfId="1032"/>
    <cellStyle name="Normal - Style7" xfId="1033"/>
    <cellStyle name="Normal - Style8" xfId="1034"/>
    <cellStyle name="Normal_ sg&amp;a b" xfId="1035"/>
    <cellStyle name="Œ…?æ맖?e [0.00]_laroux" xfId="1036"/>
    <cellStyle name="Œ…?æ맖?e_laroux" xfId="1037"/>
    <cellStyle name="Output Amounts" xfId="1038"/>
    <cellStyle name="Output Column Headings" xfId="1039"/>
    <cellStyle name="Output Line Items" xfId="1040"/>
    <cellStyle name="Output Report Heading" xfId="1041"/>
    <cellStyle name="Output Report Title" xfId="1042"/>
    <cellStyle name="PageSubtitle" xfId="1043"/>
    <cellStyle name="PageTitle" xfId="1044"/>
    <cellStyle name="PARK" xfId="1045"/>
    <cellStyle name="Percent" xfId="1046"/>
    <cellStyle name="Percent (0)" xfId="1047"/>
    <cellStyle name="Percent [2]" xfId="1048"/>
    <cellStyle name="Percent_02엘지카드(최종)" xfId="1049"/>
    <cellStyle name="Percent0" xfId="1050"/>
    <cellStyle name="RevList" xfId="1051"/>
    <cellStyle name="s]_x000d__x000a_run=c:\Hedgehog\app31.exe_x000d__x000a_spooler=yes_x000d__x000a_load=_x000d__x000a_run=_x000d__x000a_Beep=yes_x000d__x000a_NullPort=None_x000d__x000a_BorderWidth=3_x000d__x000a_CursorBlinkRate=530_x000d__x000a_D" xfId="1052"/>
    <cellStyle name="s]_x000d__x000a_spooler=yes_x000d__x000a_load=_x000d__x000a_run=d:\secrets2\plugin\plugin.exe_x000d__x000a_Beep=yes_x000d__x000a_NullPort=None_x000d__x000a_BorderWidth=3_x000d__x000a_CursorBlinkRate=530_x000d_" xfId="1053"/>
    <cellStyle name="Single Accounting" xfId="1054"/>
    <cellStyle name="subhead" xfId="1055"/>
    <cellStyle name="Subtotal" xfId="1056"/>
    <cellStyle name="Tickmark" xfId="1057"/>
    <cellStyle name="Times 10" xfId="1058"/>
    <cellStyle name="Times 12" xfId="1059"/>
    <cellStyle name="Times New Roman" xfId="1060"/>
    <cellStyle name="Total" xfId="1061"/>
    <cellStyle name="wrap" xfId="1062"/>
    <cellStyle name="Yen" xfId="1063"/>
    <cellStyle name="ﾇ･ﾁﾘ_ｱｹｿﾜbal" xfId="1064"/>
    <cellStyle name="강조색1 10" xfId="1065"/>
    <cellStyle name="강조색1 11" xfId="1066"/>
    <cellStyle name="강조색1 12" xfId="1067"/>
    <cellStyle name="강조색1 13" xfId="1068"/>
    <cellStyle name="강조색1 14" xfId="1069"/>
    <cellStyle name="강조색1 15" xfId="1070"/>
    <cellStyle name="강조색1 16" xfId="1071"/>
    <cellStyle name="강조색1 17" xfId="1072"/>
    <cellStyle name="강조색1 18" xfId="1073"/>
    <cellStyle name="강조색1 19" xfId="1074"/>
    <cellStyle name="강조색1 2" xfId="1075"/>
    <cellStyle name="강조색1 20" xfId="1076"/>
    <cellStyle name="강조색1 21" xfId="1077"/>
    <cellStyle name="강조색1 22" xfId="1078"/>
    <cellStyle name="강조색1 23" xfId="1079"/>
    <cellStyle name="강조색1 24" xfId="1080"/>
    <cellStyle name="강조색1 25" xfId="1081"/>
    <cellStyle name="강조색1 26" xfId="1082"/>
    <cellStyle name="강조색1 27" xfId="1083"/>
    <cellStyle name="강조색1 28" xfId="1084"/>
    <cellStyle name="강조색1 29" xfId="1085"/>
    <cellStyle name="강조색1 3" xfId="1086"/>
    <cellStyle name="강조색1 30" xfId="1087"/>
    <cellStyle name="강조색1 31" xfId="1088"/>
    <cellStyle name="강조색1 4" xfId="1089"/>
    <cellStyle name="강조색1 5" xfId="1090"/>
    <cellStyle name="강조색1 6" xfId="1091"/>
    <cellStyle name="강조색1 7" xfId="1092"/>
    <cellStyle name="강조색1 8" xfId="1093"/>
    <cellStyle name="강조색1 9" xfId="1094"/>
    <cellStyle name="강조색2 10" xfId="1095"/>
    <cellStyle name="강조색2 11" xfId="1096"/>
    <cellStyle name="강조색2 12" xfId="1097"/>
    <cellStyle name="강조색2 13" xfId="1098"/>
    <cellStyle name="강조색2 14" xfId="1099"/>
    <cellStyle name="강조색2 15" xfId="1100"/>
    <cellStyle name="강조색2 16" xfId="1101"/>
    <cellStyle name="강조색2 17" xfId="1102"/>
    <cellStyle name="강조색2 18" xfId="1103"/>
    <cellStyle name="강조색2 19" xfId="1104"/>
    <cellStyle name="강조색2 2" xfId="1105"/>
    <cellStyle name="강조색2 20" xfId="1106"/>
    <cellStyle name="강조색2 21" xfId="1107"/>
    <cellStyle name="강조색2 22" xfId="1108"/>
    <cellStyle name="강조색2 23" xfId="1109"/>
    <cellStyle name="강조색2 24" xfId="1110"/>
    <cellStyle name="강조색2 25" xfId="1111"/>
    <cellStyle name="강조색2 26" xfId="1112"/>
    <cellStyle name="강조색2 27" xfId="1113"/>
    <cellStyle name="강조색2 28" xfId="1114"/>
    <cellStyle name="강조색2 29" xfId="1115"/>
    <cellStyle name="강조색2 3" xfId="1116"/>
    <cellStyle name="강조색2 30" xfId="1117"/>
    <cellStyle name="강조색2 31" xfId="1118"/>
    <cellStyle name="강조색2 4" xfId="1119"/>
    <cellStyle name="강조색2 5" xfId="1120"/>
    <cellStyle name="강조색2 6" xfId="1121"/>
    <cellStyle name="강조색2 7" xfId="1122"/>
    <cellStyle name="강조색2 8" xfId="1123"/>
    <cellStyle name="강조색2 9" xfId="1124"/>
    <cellStyle name="강조색3 10" xfId="1125"/>
    <cellStyle name="강조색3 11" xfId="1126"/>
    <cellStyle name="강조색3 12" xfId="1127"/>
    <cellStyle name="강조색3 13" xfId="1128"/>
    <cellStyle name="강조색3 14" xfId="1129"/>
    <cellStyle name="강조색3 15" xfId="1130"/>
    <cellStyle name="강조색3 16" xfId="1131"/>
    <cellStyle name="강조색3 17" xfId="1132"/>
    <cellStyle name="강조색3 18" xfId="1133"/>
    <cellStyle name="강조색3 19" xfId="1134"/>
    <cellStyle name="강조색3 2" xfId="1135"/>
    <cellStyle name="강조색3 20" xfId="1136"/>
    <cellStyle name="강조색3 21" xfId="1137"/>
    <cellStyle name="강조색3 22" xfId="1138"/>
    <cellStyle name="강조색3 23" xfId="1139"/>
    <cellStyle name="강조색3 24" xfId="1140"/>
    <cellStyle name="강조색3 25" xfId="1141"/>
    <cellStyle name="강조색3 26" xfId="1142"/>
    <cellStyle name="강조색3 27" xfId="1143"/>
    <cellStyle name="강조색3 28" xfId="1144"/>
    <cellStyle name="강조색3 29" xfId="1145"/>
    <cellStyle name="강조색3 3" xfId="1146"/>
    <cellStyle name="강조색3 30" xfId="1147"/>
    <cellStyle name="강조색3 31" xfId="1148"/>
    <cellStyle name="강조색3 4" xfId="1149"/>
    <cellStyle name="강조색3 5" xfId="1150"/>
    <cellStyle name="강조색3 6" xfId="1151"/>
    <cellStyle name="강조색3 7" xfId="1152"/>
    <cellStyle name="강조색3 8" xfId="1153"/>
    <cellStyle name="강조색3 9" xfId="1154"/>
    <cellStyle name="강조색4 10" xfId="1155"/>
    <cellStyle name="강조색4 11" xfId="1156"/>
    <cellStyle name="강조색4 12" xfId="1157"/>
    <cellStyle name="강조색4 13" xfId="1158"/>
    <cellStyle name="강조색4 14" xfId="1159"/>
    <cellStyle name="강조색4 15" xfId="1160"/>
    <cellStyle name="강조색4 16" xfId="1161"/>
    <cellStyle name="강조색4 17" xfId="1162"/>
    <cellStyle name="강조색4 18" xfId="1163"/>
    <cellStyle name="강조색4 19" xfId="1164"/>
    <cellStyle name="강조색4 2" xfId="1165"/>
    <cellStyle name="강조색4 20" xfId="1166"/>
    <cellStyle name="강조색4 21" xfId="1167"/>
    <cellStyle name="강조색4 22" xfId="1168"/>
    <cellStyle name="강조색4 23" xfId="1169"/>
    <cellStyle name="강조색4 24" xfId="1170"/>
    <cellStyle name="강조색4 25" xfId="1171"/>
    <cellStyle name="강조색4 26" xfId="1172"/>
    <cellStyle name="강조색4 27" xfId="1173"/>
    <cellStyle name="강조색4 28" xfId="1174"/>
    <cellStyle name="강조색4 29" xfId="1175"/>
    <cellStyle name="강조색4 3" xfId="1176"/>
    <cellStyle name="강조색4 30" xfId="1177"/>
    <cellStyle name="강조색4 31" xfId="1178"/>
    <cellStyle name="강조색4 4" xfId="1179"/>
    <cellStyle name="강조색4 5" xfId="1180"/>
    <cellStyle name="강조색4 6" xfId="1181"/>
    <cellStyle name="강조색4 7" xfId="1182"/>
    <cellStyle name="강조색4 8" xfId="1183"/>
    <cellStyle name="강조색4 9" xfId="1184"/>
    <cellStyle name="강조색5 10" xfId="1185"/>
    <cellStyle name="강조색5 11" xfId="1186"/>
    <cellStyle name="강조색5 12" xfId="1187"/>
    <cellStyle name="강조색5 13" xfId="1188"/>
    <cellStyle name="강조색5 14" xfId="1189"/>
    <cellStyle name="강조색5 15" xfId="1190"/>
    <cellStyle name="강조색5 16" xfId="1191"/>
    <cellStyle name="강조색5 17" xfId="1192"/>
    <cellStyle name="강조색5 18" xfId="1193"/>
    <cellStyle name="강조색5 19" xfId="1194"/>
    <cellStyle name="강조색5 2" xfId="1195"/>
    <cellStyle name="강조색5 20" xfId="1196"/>
    <cellStyle name="강조색5 21" xfId="1197"/>
    <cellStyle name="강조색5 22" xfId="1198"/>
    <cellStyle name="강조색5 23" xfId="1199"/>
    <cellStyle name="강조색5 24" xfId="1200"/>
    <cellStyle name="강조색5 25" xfId="1201"/>
    <cellStyle name="강조색5 26" xfId="1202"/>
    <cellStyle name="강조색5 27" xfId="1203"/>
    <cellStyle name="강조색5 28" xfId="1204"/>
    <cellStyle name="강조색5 29" xfId="1205"/>
    <cellStyle name="강조색5 3" xfId="1206"/>
    <cellStyle name="강조색5 30" xfId="1207"/>
    <cellStyle name="강조색5 31" xfId="1208"/>
    <cellStyle name="강조색5 4" xfId="1209"/>
    <cellStyle name="강조색5 5" xfId="1210"/>
    <cellStyle name="강조색5 6" xfId="1211"/>
    <cellStyle name="강조색5 7" xfId="1212"/>
    <cellStyle name="강조색5 8" xfId="1213"/>
    <cellStyle name="강조색5 9" xfId="1214"/>
    <cellStyle name="강조색6 10" xfId="1215"/>
    <cellStyle name="강조색6 11" xfId="1216"/>
    <cellStyle name="강조색6 12" xfId="1217"/>
    <cellStyle name="강조색6 13" xfId="1218"/>
    <cellStyle name="강조색6 14" xfId="1219"/>
    <cellStyle name="강조색6 15" xfId="1220"/>
    <cellStyle name="강조색6 16" xfId="1221"/>
    <cellStyle name="강조색6 17" xfId="1222"/>
    <cellStyle name="강조색6 18" xfId="1223"/>
    <cellStyle name="강조색6 19" xfId="1224"/>
    <cellStyle name="강조색6 2" xfId="1225"/>
    <cellStyle name="강조색6 20" xfId="1226"/>
    <cellStyle name="강조색6 21" xfId="1227"/>
    <cellStyle name="강조색6 22" xfId="1228"/>
    <cellStyle name="강조색6 23" xfId="1229"/>
    <cellStyle name="강조색6 24" xfId="1230"/>
    <cellStyle name="강조색6 25" xfId="1231"/>
    <cellStyle name="강조색6 26" xfId="1232"/>
    <cellStyle name="강조색6 27" xfId="1233"/>
    <cellStyle name="강조색6 28" xfId="1234"/>
    <cellStyle name="강조색6 29" xfId="1235"/>
    <cellStyle name="강조색6 3" xfId="1236"/>
    <cellStyle name="강조색6 30" xfId="1237"/>
    <cellStyle name="강조색6 31" xfId="1238"/>
    <cellStyle name="강조색6 4" xfId="1239"/>
    <cellStyle name="강조색6 5" xfId="1240"/>
    <cellStyle name="강조색6 6" xfId="1241"/>
    <cellStyle name="강조색6 7" xfId="1242"/>
    <cellStyle name="강조색6 8" xfId="1243"/>
    <cellStyle name="강조색6 9" xfId="1244"/>
    <cellStyle name="검증" xfId="1245"/>
    <cellStyle name="경고문 10" xfId="1246"/>
    <cellStyle name="경고문 11" xfId="1247"/>
    <cellStyle name="경고문 12" xfId="1248"/>
    <cellStyle name="경고문 13" xfId="1249"/>
    <cellStyle name="경고문 14" xfId="1250"/>
    <cellStyle name="경고문 15" xfId="1251"/>
    <cellStyle name="경고문 16" xfId="1252"/>
    <cellStyle name="경고문 17" xfId="1253"/>
    <cellStyle name="경고문 18" xfId="1254"/>
    <cellStyle name="경고문 19" xfId="1255"/>
    <cellStyle name="경고문 2" xfId="1256"/>
    <cellStyle name="경고문 20" xfId="1257"/>
    <cellStyle name="경고문 21" xfId="1258"/>
    <cellStyle name="경고문 22" xfId="1259"/>
    <cellStyle name="경고문 23" xfId="1260"/>
    <cellStyle name="경고문 24" xfId="1261"/>
    <cellStyle name="경고문 25" xfId="1262"/>
    <cellStyle name="경고문 26" xfId="1263"/>
    <cellStyle name="경고문 27" xfId="1264"/>
    <cellStyle name="경고문 28" xfId="1265"/>
    <cellStyle name="경고문 29" xfId="1266"/>
    <cellStyle name="경고문 3" xfId="1267"/>
    <cellStyle name="경고문 30" xfId="1268"/>
    <cellStyle name="경고문 31" xfId="1269"/>
    <cellStyle name="경고문 4" xfId="1270"/>
    <cellStyle name="경고문 5" xfId="1271"/>
    <cellStyle name="경고문 6" xfId="1272"/>
    <cellStyle name="경고문 7" xfId="1273"/>
    <cellStyle name="경고문 8" xfId="1274"/>
    <cellStyle name="경고문 9" xfId="1275"/>
    <cellStyle name="계산 10" xfId="1276"/>
    <cellStyle name="계산 11" xfId="1277"/>
    <cellStyle name="계산 12" xfId="1278"/>
    <cellStyle name="계산 13" xfId="1279"/>
    <cellStyle name="계산 14" xfId="1280"/>
    <cellStyle name="계산 15" xfId="1281"/>
    <cellStyle name="계산 16" xfId="1282"/>
    <cellStyle name="계산 17" xfId="1283"/>
    <cellStyle name="계산 18" xfId="1284"/>
    <cellStyle name="계산 19" xfId="1285"/>
    <cellStyle name="계산 2" xfId="1286"/>
    <cellStyle name="계산 20" xfId="1287"/>
    <cellStyle name="계산 21" xfId="1288"/>
    <cellStyle name="계산 22" xfId="1289"/>
    <cellStyle name="계산 23" xfId="1290"/>
    <cellStyle name="계산 24" xfId="1291"/>
    <cellStyle name="계산 25" xfId="1292"/>
    <cellStyle name="계산 26" xfId="1293"/>
    <cellStyle name="계산 27" xfId="1294"/>
    <cellStyle name="계산 28" xfId="1295"/>
    <cellStyle name="계산 29" xfId="1296"/>
    <cellStyle name="계산 3" xfId="1297"/>
    <cellStyle name="계산 30" xfId="1298"/>
    <cellStyle name="계산 31" xfId="1299"/>
    <cellStyle name="계산 4" xfId="1300"/>
    <cellStyle name="계산 5" xfId="1301"/>
    <cellStyle name="계산 6" xfId="1302"/>
    <cellStyle name="계산 7" xfId="1303"/>
    <cellStyle name="계산 8" xfId="1304"/>
    <cellStyle name="계산 9" xfId="1305"/>
    <cellStyle name="고정소숫점" xfId="1306"/>
    <cellStyle name="고정출력1" xfId="1307"/>
    <cellStyle name="고정출력2" xfId="1308"/>
    <cellStyle name="咬訌裝?INCOM1" xfId="1309"/>
    <cellStyle name="咬訌裝?INCOM10" xfId="1310"/>
    <cellStyle name="咬訌裝?INCOM2" xfId="1311"/>
    <cellStyle name="咬訌裝?INCOM3" xfId="1312"/>
    <cellStyle name="咬訌裝?INCOM4" xfId="1313"/>
    <cellStyle name="咬訌裝?INCOM5" xfId="1314"/>
    <cellStyle name="咬訌裝?INCOM6" xfId="1315"/>
    <cellStyle name="咬訌裝?INCOM7" xfId="1316"/>
    <cellStyle name="咬訌裝?INCOM8" xfId="1317"/>
    <cellStyle name="咬訌裝?INCOM9" xfId="1318"/>
    <cellStyle name="咬訌裝?PRIB11" xfId="1319"/>
    <cellStyle name="咬訌裝?report-2 " xfId="1320"/>
    <cellStyle name="금액" xfId="1321"/>
    <cellStyle name="금액 2" xfId="1322"/>
    <cellStyle name="금액 3" xfId="1323"/>
    <cellStyle name="금액 4" xfId="1324"/>
    <cellStyle name="금액 5" xfId="1325"/>
    <cellStyle name="금액 6" xfId="1326"/>
    <cellStyle name="금액 7" xfId="1327"/>
    <cellStyle name="나쁨 10" xfId="1328"/>
    <cellStyle name="나쁨 11" xfId="1329"/>
    <cellStyle name="나쁨 12" xfId="1330"/>
    <cellStyle name="나쁨 13" xfId="1331"/>
    <cellStyle name="나쁨 14" xfId="1332"/>
    <cellStyle name="나쁨 15" xfId="1333"/>
    <cellStyle name="나쁨 16" xfId="1334"/>
    <cellStyle name="나쁨 17" xfId="1335"/>
    <cellStyle name="나쁨 18" xfId="1336"/>
    <cellStyle name="나쁨 19" xfId="1337"/>
    <cellStyle name="나쁨 2" xfId="1338"/>
    <cellStyle name="나쁨 20" xfId="1339"/>
    <cellStyle name="나쁨 21" xfId="1340"/>
    <cellStyle name="나쁨 22" xfId="1341"/>
    <cellStyle name="나쁨 23" xfId="1342"/>
    <cellStyle name="나쁨 24" xfId="1343"/>
    <cellStyle name="나쁨 25" xfId="1344"/>
    <cellStyle name="나쁨 26" xfId="1345"/>
    <cellStyle name="나쁨 27" xfId="1346"/>
    <cellStyle name="나쁨 28" xfId="1347"/>
    <cellStyle name="나쁨 29" xfId="1348"/>
    <cellStyle name="나쁨 3" xfId="1349"/>
    <cellStyle name="나쁨 30" xfId="1350"/>
    <cellStyle name="나쁨 31" xfId="1351"/>
    <cellStyle name="나쁨 4" xfId="1352"/>
    <cellStyle name="나쁨 5" xfId="1353"/>
    <cellStyle name="나쁨 6" xfId="1354"/>
    <cellStyle name="나쁨 7" xfId="1355"/>
    <cellStyle name="나쁨 8" xfId="1356"/>
    <cellStyle name="나쁨 9" xfId="1357"/>
    <cellStyle name="날짜" xfId="1358"/>
    <cellStyle name="년도" xfId="1359"/>
    <cellStyle name="년도 2" xfId="1360"/>
    <cellStyle name="년도 3" xfId="1361"/>
    <cellStyle name="년도 4" xfId="1362"/>
    <cellStyle name="년도 5" xfId="1363"/>
    <cellStyle name="년도 6" xfId="1364"/>
    <cellStyle name="년도 7" xfId="1365"/>
    <cellStyle name="달러" xfId="1366"/>
    <cellStyle name="뒤에 오는 하이퍼링크_0122-총" xfId="1367"/>
    <cellStyle name="똿떓죶ø? [0.00" xfId="1368"/>
    <cellStyle name="똿떓죶ø?_produ" xfId="1369"/>
    <cellStyle name="똿뗦먛귟 [0.00]_PRODUCT DETAIL Q1" xfId="1370"/>
    <cellStyle name="똿뗦먛귟_PRODUCT DETAIL Q1" xfId="1371"/>
    <cellStyle name="메모 10" xfId="1372"/>
    <cellStyle name="메모 11" xfId="1373"/>
    <cellStyle name="메모 12" xfId="1374"/>
    <cellStyle name="메모 13" xfId="1375"/>
    <cellStyle name="메모 14" xfId="1376"/>
    <cellStyle name="메모 15" xfId="1377"/>
    <cellStyle name="메모 16" xfId="1378"/>
    <cellStyle name="메모 17" xfId="1379"/>
    <cellStyle name="메모 18" xfId="1380"/>
    <cellStyle name="메모 19" xfId="1381"/>
    <cellStyle name="메모 2" xfId="1382"/>
    <cellStyle name="메모 2 2" xfId="1383"/>
    <cellStyle name="메모 20" xfId="1384"/>
    <cellStyle name="메모 21" xfId="1385"/>
    <cellStyle name="메모 22" xfId="1386"/>
    <cellStyle name="메모 23" xfId="1387"/>
    <cellStyle name="메모 24" xfId="1388"/>
    <cellStyle name="메모 25" xfId="1389"/>
    <cellStyle name="메모 26" xfId="1390"/>
    <cellStyle name="메모 27" xfId="1391"/>
    <cellStyle name="메모 28" xfId="1392"/>
    <cellStyle name="메모 29" xfId="1393"/>
    <cellStyle name="메모 3" xfId="1394"/>
    <cellStyle name="메모 3 2" xfId="1395"/>
    <cellStyle name="메모 30" xfId="1396"/>
    <cellStyle name="메모 4" xfId="1397"/>
    <cellStyle name="메모 5" xfId="1398"/>
    <cellStyle name="메모 6" xfId="1399"/>
    <cellStyle name="메모 7" xfId="1400"/>
    <cellStyle name="메모 8" xfId="1401"/>
    <cellStyle name="메모 9" xfId="1402"/>
    <cellStyle name="메시지" xfId="1403"/>
    <cellStyle name="믅됞 [0.00]_PRODUCT DETAIL Q1" xfId="1404"/>
    <cellStyle name="믅됞_PRODUCT DETAIL Q1" xfId="1405"/>
    <cellStyle name="백분율" xfId="1406" builtinId="5"/>
    <cellStyle name="백분율 14" xfId="1407"/>
    <cellStyle name="백분율 14 2" xfId="1408"/>
    <cellStyle name="백분율 14 3" xfId="1409"/>
    <cellStyle name="백분율 14 4" xfId="1410"/>
    <cellStyle name="백분율 15" xfId="1411"/>
    <cellStyle name="백분율 16" xfId="1412"/>
    <cellStyle name="백분율 16 2" xfId="1413"/>
    <cellStyle name="백분율 16 3" xfId="1414"/>
    <cellStyle name="백분율 16 4" xfId="1415"/>
    <cellStyle name="백분율 16 5" xfId="1416"/>
    <cellStyle name="백분율 16 6" xfId="1417"/>
    <cellStyle name="백분율 16 7" xfId="1418"/>
    <cellStyle name="백분율 16 8" xfId="1419"/>
    <cellStyle name="백분율 16 9" xfId="1420"/>
    <cellStyle name="백분율 17" xfId="1421"/>
    <cellStyle name="백분율 2" xfId="1422"/>
    <cellStyle name="백분율 2 10" xfId="1423"/>
    <cellStyle name="백분율 2 11" xfId="1424"/>
    <cellStyle name="백분율 2 12" xfId="1425"/>
    <cellStyle name="백분율 2 2" xfId="1426"/>
    <cellStyle name="백분율 2 3" xfId="1427"/>
    <cellStyle name="백분율 2 4" xfId="1428"/>
    <cellStyle name="백분율 2 5" xfId="1429"/>
    <cellStyle name="백분율 2 6" xfId="1430"/>
    <cellStyle name="백분율 2 7" xfId="1431"/>
    <cellStyle name="백분율 2 8" xfId="1432"/>
    <cellStyle name="백분율 2 9" xfId="1433"/>
    <cellStyle name="백분율 53" xfId="1434"/>
    <cellStyle name="백분율 55" xfId="1435"/>
    <cellStyle name="보고서" xfId="1436"/>
    <cellStyle name="보고서 2" xfId="1437"/>
    <cellStyle name="보고서 3" xfId="1438"/>
    <cellStyle name="보고서 4" xfId="1439"/>
    <cellStyle name="보고서 5" xfId="1440"/>
    <cellStyle name="보고서 6" xfId="1441"/>
    <cellStyle name="보고서 7" xfId="1442"/>
    <cellStyle name="보통 10" xfId="1443"/>
    <cellStyle name="보통 11" xfId="1444"/>
    <cellStyle name="보통 12" xfId="1445"/>
    <cellStyle name="보통 13" xfId="1446"/>
    <cellStyle name="보통 14" xfId="1447"/>
    <cellStyle name="보통 15" xfId="1448"/>
    <cellStyle name="보통 16" xfId="1449"/>
    <cellStyle name="보통 17" xfId="1450"/>
    <cellStyle name="보통 18" xfId="1451"/>
    <cellStyle name="보통 19" xfId="1452"/>
    <cellStyle name="보통 2" xfId="1453"/>
    <cellStyle name="보통 20" xfId="1454"/>
    <cellStyle name="보통 21" xfId="1455"/>
    <cellStyle name="보통 22" xfId="1456"/>
    <cellStyle name="보통 23" xfId="1457"/>
    <cellStyle name="보통 24" xfId="1458"/>
    <cellStyle name="보통 25" xfId="1459"/>
    <cellStyle name="보통 26" xfId="1460"/>
    <cellStyle name="보통 27" xfId="1461"/>
    <cellStyle name="보통 28" xfId="1462"/>
    <cellStyle name="보통 29" xfId="1463"/>
    <cellStyle name="보통 3" xfId="1464"/>
    <cellStyle name="보통 30" xfId="1465"/>
    <cellStyle name="보통 31" xfId="1466"/>
    <cellStyle name="보통 4" xfId="1467"/>
    <cellStyle name="보통 5" xfId="1468"/>
    <cellStyle name="보통 6" xfId="1469"/>
    <cellStyle name="보통 7" xfId="1470"/>
    <cellStyle name="보통 8" xfId="1471"/>
    <cellStyle name="보통 9" xfId="1472"/>
    <cellStyle name="뷭?_BOOKSHIP" xfId="1473"/>
    <cellStyle name="븏?_bookship" xfId="1474"/>
    <cellStyle name="사용자" xfId="1475"/>
    <cellStyle name="새귑[0]_롤痰삠悧 " xfId="1476"/>
    <cellStyle name="새귑_롤痰삠悧 " xfId="1477"/>
    <cellStyle name="설명 텍스트 10" xfId="1478"/>
    <cellStyle name="설명 텍스트 11" xfId="1479"/>
    <cellStyle name="설명 텍스트 12" xfId="1480"/>
    <cellStyle name="설명 텍스트 13" xfId="1481"/>
    <cellStyle name="설명 텍스트 14" xfId="1482"/>
    <cellStyle name="설명 텍스트 15" xfId="1483"/>
    <cellStyle name="설명 텍스트 16" xfId="1484"/>
    <cellStyle name="설명 텍스트 17" xfId="1485"/>
    <cellStyle name="설명 텍스트 18" xfId="1486"/>
    <cellStyle name="설명 텍스트 19" xfId="1487"/>
    <cellStyle name="설명 텍스트 2" xfId="1488"/>
    <cellStyle name="설명 텍스트 20" xfId="1489"/>
    <cellStyle name="설명 텍스트 21" xfId="1490"/>
    <cellStyle name="설명 텍스트 22" xfId="1491"/>
    <cellStyle name="설명 텍스트 23" xfId="1492"/>
    <cellStyle name="설명 텍스트 24" xfId="1493"/>
    <cellStyle name="설명 텍스트 25" xfId="1494"/>
    <cellStyle name="설명 텍스트 26" xfId="1495"/>
    <cellStyle name="설명 텍스트 27" xfId="1496"/>
    <cellStyle name="설명 텍스트 28" xfId="1497"/>
    <cellStyle name="설명 텍스트 29" xfId="1498"/>
    <cellStyle name="설명 텍스트 3" xfId="1499"/>
    <cellStyle name="설명 텍스트 30" xfId="1500"/>
    <cellStyle name="설명 텍스트 31" xfId="1501"/>
    <cellStyle name="설명 텍스트 4" xfId="1502"/>
    <cellStyle name="설명 텍스트 5" xfId="1503"/>
    <cellStyle name="설명 텍스트 6" xfId="1504"/>
    <cellStyle name="설명 텍스트 7" xfId="1505"/>
    <cellStyle name="설명 텍스트 8" xfId="1506"/>
    <cellStyle name="설명 텍스트 9" xfId="1507"/>
    <cellStyle name="셀 확인 10" xfId="1508"/>
    <cellStyle name="셀 확인 11" xfId="1509"/>
    <cellStyle name="셀 확인 12" xfId="1510"/>
    <cellStyle name="셀 확인 13" xfId="1511"/>
    <cellStyle name="셀 확인 14" xfId="1512"/>
    <cellStyle name="셀 확인 15" xfId="1513"/>
    <cellStyle name="셀 확인 16" xfId="1514"/>
    <cellStyle name="셀 확인 17" xfId="1515"/>
    <cellStyle name="셀 확인 18" xfId="1516"/>
    <cellStyle name="셀 확인 19" xfId="1517"/>
    <cellStyle name="셀 확인 2" xfId="1518"/>
    <cellStyle name="셀 확인 20" xfId="1519"/>
    <cellStyle name="셀 확인 21" xfId="1520"/>
    <cellStyle name="셀 확인 22" xfId="1521"/>
    <cellStyle name="셀 확인 23" xfId="1522"/>
    <cellStyle name="셀 확인 24" xfId="1523"/>
    <cellStyle name="셀 확인 25" xfId="1524"/>
    <cellStyle name="셀 확인 26" xfId="1525"/>
    <cellStyle name="셀 확인 27" xfId="1526"/>
    <cellStyle name="셀 확인 28" xfId="1527"/>
    <cellStyle name="셀 확인 29" xfId="1528"/>
    <cellStyle name="셀 확인 3" xfId="1529"/>
    <cellStyle name="셀 확인 30" xfId="1530"/>
    <cellStyle name="셀 확인 31" xfId="1531"/>
    <cellStyle name="셀 확인 4" xfId="1532"/>
    <cellStyle name="셀 확인 5" xfId="1533"/>
    <cellStyle name="셀 확인 6" xfId="1534"/>
    <cellStyle name="셀 확인 7" xfId="1535"/>
    <cellStyle name="셀 확인 8" xfId="1536"/>
    <cellStyle name="셀 확인 9" xfId="1537"/>
    <cellStyle name="숫자" xfId="1538"/>
    <cellStyle name="숫자 2" xfId="1539"/>
    <cellStyle name="숫자 3" xfId="1540"/>
    <cellStyle name="숫자 4" xfId="1541"/>
    <cellStyle name="숫자 5" xfId="1542"/>
    <cellStyle name="숫자 6" xfId="1543"/>
    <cellStyle name="숫자 7" xfId="1544"/>
    <cellStyle name="쉼표 [0]" xfId="1545" builtinId="6"/>
    <cellStyle name="쉼표 [0] 13" xfId="1546"/>
    <cellStyle name="쉼표 [0] 14" xfId="1547"/>
    <cellStyle name="쉼표 [0] 16" xfId="1548"/>
    <cellStyle name="쉼표 [0] 16 2" xfId="1549"/>
    <cellStyle name="쉼표 [0] 16 3" xfId="1550"/>
    <cellStyle name="쉼표 [0] 16 4" xfId="1551"/>
    <cellStyle name="쉼표 [0] 16 5" xfId="1552"/>
    <cellStyle name="쉼표 [0] 2" xfId="1553"/>
    <cellStyle name="쉼표 [0] 2 10" xfId="1554"/>
    <cellStyle name="쉼표 [0] 2 11" xfId="1555"/>
    <cellStyle name="쉼표 [0] 2 12" xfId="1556"/>
    <cellStyle name="쉼표 [0] 2 13" xfId="1557"/>
    <cellStyle name="쉼표 [0] 2 14" xfId="1558"/>
    <cellStyle name="쉼표 [0] 2 15" xfId="1559"/>
    <cellStyle name="쉼표 [0] 2 2" xfId="1560"/>
    <cellStyle name="쉼표 [0] 2 2 10" xfId="1561"/>
    <cellStyle name="쉼표 [0] 2 2 11" xfId="1562"/>
    <cellStyle name="쉼표 [0] 2 2 12" xfId="1563"/>
    <cellStyle name="쉼표 [0] 2 2 13" xfId="1564"/>
    <cellStyle name="쉼표 [0] 2 2 2" xfId="1565"/>
    <cellStyle name="쉼표 [0] 2 2 3" xfId="1566"/>
    <cellStyle name="쉼표 [0] 2 2 4" xfId="1567"/>
    <cellStyle name="쉼표 [0] 2 2 5" xfId="1568"/>
    <cellStyle name="쉼표 [0] 2 2 6" xfId="1569"/>
    <cellStyle name="쉼표 [0] 2 2 7" xfId="1570"/>
    <cellStyle name="쉼표 [0] 2 2 8" xfId="1571"/>
    <cellStyle name="쉼표 [0] 2 2 9" xfId="1572"/>
    <cellStyle name="쉼표 [0] 2 3" xfId="1573"/>
    <cellStyle name="쉼표 [0] 2 4" xfId="1574"/>
    <cellStyle name="쉼표 [0] 2 5" xfId="1575"/>
    <cellStyle name="쉼표 [0] 2 6" xfId="1576"/>
    <cellStyle name="쉼표 [0] 2 7" xfId="1577"/>
    <cellStyle name="쉼표 [0] 2 8" xfId="1578"/>
    <cellStyle name="쉼표 [0] 2 9" xfId="1579"/>
    <cellStyle name="쉼표 [0] 26" xfId="1580"/>
    <cellStyle name="쉼표 [0] 27" xfId="1581"/>
    <cellStyle name="쉼표 [0] 27 10" xfId="1582"/>
    <cellStyle name="쉼표 [0] 27 2" xfId="1583"/>
    <cellStyle name="쉼표 [0] 27 3" xfId="1584"/>
    <cellStyle name="쉼표 [0] 27 4" xfId="1585"/>
    <cellStyle name="쉼표 [0] 27 5" xfId="1586"/>
    <cellStyle name="쉼표 [0] 27 6" xfId="1587"/>
    <cellStyle name="쉼표 [0] 27 7" xfId="1588"/>
    <cellStyle name="쉼표 [0] 27 8" xfId="1589"/>
    <cellStyle name="쉼표 [0] 27 9" xfId="1590"/>
    <cellStyle name="쉼표 [0] 28" xfId="1591"/>
    <cellStyle name="쉼표 [0] 29" xfId="1592"/>
    <cellStyle name="쉼표 [0] 3 10" xfId="1593"/>
    <cellStyle name="쉼표 [0] 3 11" xfId="1594"/>
    <cellStyle name="쉼표 [0] 3 12" xfId="1595"/>
    <cellStyle name="쉼표 [0] 3 13" xfId="1596"/>
    <cellStyle name="쉼표 [0] 3 14" xfId="1597"/>
    <cellStyle name="쉼표 [0] 3 2" xfId="1598"/>
    <cellStyle name="쉼표 [0] 3 2 10" xfId="1599"/>
    <cellStyle name="쉼표 [0] 3 2 11" xfId="1600"/>
    <cellStyle name="쉼표 [0] 3 2 12" xfId="1601"/>
    <cellStyle name="쉼표 [0] 3 2 2" xfId="1602"/>
    <cellStyle name="쉼표 [0] 3 2 3" xfId="1603"/>
    <cellStyle name="쉼표 [0] 3 2 4" xfId="1604"/>
    <cellStyle name="쉼표 [0] 3 2 5" xfId="1605"/>
    <cellStyle name="쉼표 [0] 3 2 6" xfId="1606"/>
    <cellStyle name="쉼표 [0] 3 2 7" xfId="1607"/>
    <cellStyle name="쉼표 [0] 3 2 8" xfId="1608"/>
    <cellStyle name="쉼표 [0] 3 2 9" xfId="1609"/>
    <cellStyle name="쉼표 [0] 3 3" xfId="1610"/>
    <cellStyle name="쉼표 [0] 3 4" xfId="1611"/>
    <cellStyle name="쉼표 [0] 3 5" xfId="1612"/>
    <cellStyle name="쉼표 [0] 3 6" xfId="1613"/>
    <cellStyle name="쉼표 [0] 3 7" xfId="1614"/>
    <cellStyle name="쉼표 [0] 3 8" xfId="1615"/>
    <cellStyle name="쉼표 [0] 3 9" xfId="1616"/>
    <cellStyle name="쉼표 [0] 36" xfId="1617"/>
    <cellStyle name="쉼표 [0] 4 2" xfId="1618"/>
    <cellStyle name="쉼표 [0] 44" xfId="1619"/>
    <cellStyle name="쉼표 [0] 45" xfId="1620"/>
    <cellStyle name="쉼표 [0] 46" xfId="1621"/>
    <cellStyle name="쉼표 [0] 47" xfId="1622"/>
    <cellStyle name="쉼표 [0] 48" xfId="1623"/>
    <cellStyle name="쉼표 [0] 49" xfId="1624"/>
    <cellStyle name="쉼표 [0] 5 2" xfId="1625"/>
    <cellStyle name="쉼표 [0] 54" xfId="1626"/>
    <cellStyle name="쉼표 [0] 56" xfId="1627"/>
    <cellStyle name="쉼표 [0] 58" xfId="1628"/>
    <cellStyle name="쉼표 [0] 59" xfId="1629"/>
    <cellStyle name="쉼표 [0] 62" xfId="1630"/>
    <cellStyle name="쉼표 [0]_Fact Book (2008 3Q)_Kor" xfId="1631"/>
    <cellStyle name="쉼표 [0]_충당금예측" xfId="1632"/>
    <cellStyle name="쉼표 [0]_카드부분" xfId="1633"/>
    <cellStyle name="스타일 1" xfId="1634"/>
    <cellStyle name="스타일 2" xfId="1635"/>
    <cellStyle name="스타일 2 10" xfId="1636"/>
    <cellStyle name="스타일 2 11" xfId="1637"/>
    <cellStyle name="스타일 2 11 2" xfId="1638"/>
    <cellStyle name="스타일 2 11 3" xfId="1639"/>
    <cellStyle name="스타일 2 11 4" xfId="1640"/>
    <cellStyle name="스타일 2 11 5" xfId="1641"/>
    <cellStyle name="스타일 2 11 6" xfId="1642"/>
    <cellStyle name="스타일 2 11 7" xfId="1643"/>
    <cellStyle name="스타일 2 11 8" xfId="1644"/>
    <cellStyle name="스타일 2 11 9" xfId="1645"/>
    <cellStyle name="스타일 2 12" xfId="1646"/>
    <cellStyle name="스타일 2 12 2" xfId="1647"/>
    <cellStyle name="스타일 2 12 3" xfId="1648"/>
    <cellStyle name="스타일 2 12 4" xfId="1649"/>
    <cellStyle name="스타일 2 12 5" xfId="1650"/>
    <cellStyle name="스타일 2 12 6" xfId="1651"/>
    <cellStyle name="스타일 2 12 7" xfId="1652"/>
    <cellStyle name="스타일 2 12 8" xfId="1653"/>
    <cellStyle name="스타일 2 12 9" xfId="1654"/>
    <cellStyle name="스타일 2 13" xfId="1655"/>
    <cellStyle name="스타일 2 13 2" xfId="1656"/>
    <cellStyle name="스타일 2 13 3" xfId="1657"/>
    <cellStyle name="스타일 2 13 4" xfId="1658"/>
    <cellStyle name="스타일 2 13 5" xfId="1659"/>
    <cellStyle name="스타일 2 13 6" xfId="1660"/>
    <cellStyle name="스타일 2 13 7" xfId="1661"/>
    <cellStyle name="스타일 2 13 8" xfId="1662"/>
    <cellStyle name="스타일 2 13 9" xfId="1663"/>
    <cellStyle name="스타일 2 14" xfId="1664"/>
    <cellStyle name="스타일 2 15" xfId="1665"/>
    <cellStyle name="스타일 2 16" xfId="1666"/>
    <cellStyle name="스타일 2 17" xfId="1667"/>
    <cellStyle name="스타일 2 18" xfId="1668"/>
    <cellStyle name="스타일 2 19" xfId="1669"/>
    <cellStyle name="스타일 2 2" xfId="1670"/>
    <cellStyle name="스타일 2 2 10" xfId="1671"/>
    <cellStyle name="스타일 2 2 11" xfId="1672"/>
    <cellStyle name="스타일 2 2 12" xfId="1673"/>
    <cellStyle name="스타일 2 2 2" xfId="1674"/>
    <cellStyle name="스타일 2 2 3" xfId="1675"/>
    <cellStyle name="스타일 2 2 4" xfId="1676"/>
    <cellStyle name="스타일 2 2 5" xfId="1677"/>
    <cellStyle name="스타일 2 2 6" xfId="1678"/>
    <cellStyle name="스타일 2 2 7" xfId="1679"/>
    <cellStyle name="스타일 2 2 8" xfId="1680"/>
    <cellStyle name="스타일 2 2 9" xfId="1681"/>
    <cellStyle name="스타일 2 20" xfId="1682"/>
    <cellStyle name="스타일 2 21" xfId="1683"/>
    <cellStyle name="스타일 2 22" xfId="1684"/>
    <cellStyle name="스타일 2 23" xfId="1685"/>
    <cellStyle name="스타일 2 3" xfId="1686"/>
    <cellStyle name="스타일 2 4" xfId="1687"/>
    <cellStyle name="스타일 2 5" xfId="1688"/>
    <cellStyle name="스타일 2 6" xfId="1689"/>
    <cellStyle name="스타일 2 7" xfId="1690"/>
    <cellStyle name="스타일 2 8" xfId="1691"/>
    <cellStyle name="스타일 2 9" xfId="1692"/>
    <cellStyle name="스타일 3" xfId="1693"/>
    <cellStyle name="스타일 3 2" xfId="1694"/>
    <cellStyle name="스타일 3 2 2" xfId="1695"/>
    <cellStyle name="스타일 3 3" xfId="1696"/>
    <cellStyle name="스타일 4" xfId="1697"/>
    <cellStyle name="스타일 5" xfId="1698"/>
    <cellStyle name="스타일 5 2" xfId="1699"/>
    <cellStyle name="스타일 5 2 2" xfId="1700"/>
    <cellStyle name="스타일 5 3" xfId="1701"/>
    <cellStyle name="스타일 6" xfId="1702"/>
    <cellStyle name="스타일 7" xfId="1703"/>
    <cellStyle name="스타일 8" xfId="1704"/>
    <cellStyle name="식" xfId="1705"/>
    <cellStyle name="안건회계법인" xfId="1706"/>
    <cellStyle name="연결된 셀 10" xfId="1707"/>
    <cellStyle name="연결된 셀 11" xfId="1708"/>
    <cellStyle name="연결된 셀 12" xfId="1709"/>
    <cellStyle name="연결된 셀 13" xfId="1710"/>
    <cellStyle name="연결된 셀 14" xfId="1711"/>
    <cellStyle name="연결된 셀 15" xfId="1712"/>
    <cellStyle name="연결된 셀 16" xfId="1713"/>
    <cellStyle name="연결된 셀 17" xfId="1714"/>
    <cellStyle name="연결된 셀 18" xfId="1715"/>
    <cellStyle name="연결된 셀 19" xfId="1716"/>
    <cellStyle name="연결된 셀 2" xfId="1717"/>
    <cellStyle name="연결된 셀 20" xfId="1718"/>
    <cellStyle name="연결된 셀 21" xfId="1719"/>
    <cellStyle name="연결된 셀 22" xfId="1720"/>
    <cellStyle name="연결된 셀 23" xfId="1721"/>
    <cellStyle name="연결된 셀 24" xfId="1722"/>
    <cellStyle name="연결된 셀 25" xfId="1723"/>
    <cellStyle name="연결된 셀 26" xfId="1724"/>
    <cellStyle name="연결된 셀 27" xfId="1725"/>
    <cellStyle name="연결된 셀 28" xfId="1726"/>
    <cellStyle name="연결된 셀 29" xfId="1727"/>
    <cellStyle name="연결된 셀 3" xfId="1728"/>
    <cellStyle name="연결된 셀 30" xfId="1729"/>
    <cellStyle name="연결된 셀 31" xfId="1730"/>
    <cellStyle name="연결된 셀 4" xfId="1731"/>
    <cellStyle name="연결된 셀 5" xfId="1732"/>
    <cellStyle name="연결된 셀 6" xfId="1733"/>
    <cellStyle name="연결된 셀 7" xfId="1734"/>
    <cellStyle name="연결된 셀 8" xfId="1735"/>
    <cellStyle name="연결된 셀 9" xfId="1736"/>
    <cellStyle name="요약 10" xfId="1737"/>
    <cellStyle name="요약 11" xfId="1738"/>
    <cellStyle name="요약 12" xfId="1739"/>
    <cellStyle name="요약 13" xfId="1740"/>
    <cellStyle name="요약 14" xfId="1741"/>
    <cellStyle name="요약 15" xfId="1742"/>
    <cellStyle name="요약 16" xfId="1743"/>
    <cellStyle name="요약 17" xfId="1744"/>
    <cellStyle name="요약 18" xfId="1745"/>
    <cellStyle name="요약 19" xfId="1746"/>
    <cellStyle name="요약 2" xfId="1747"/>
    <cellStyle name="요약 20" xfId="1748"/>
    <cellStyle name="요약 21" xfId="1749"/>
    <cellStyle name="요약 22" xfId="1750"/>
    <cellStyle name="요약 23" xfId="1751"/>
    <cellStyle name="요약 24" xfId="1752"/>
    <cellStyle name="요약 25" xfId="1753"/>
    <cellStyle name="요약 26" xfId="1754"/>
    <cellStyle name="요약 27" xfId="1755"/>
    <cellStyle name="요약 28" xfId="1756"/>
    <cellStyle name="요약 29" xfId="1757"/>
    <cellStyle name="요약 3" xfId="1758"/>
    <cellStyle name="요약 30" xfId="1759"/>
    <cellStyle name="요약 31" xfId="1760"/>
    <cellStyle name="요약 4" xfId="1761"/>
    <cellStyle name="요약 5" xfId="1762"/>
    <cellStyle name="요약 6" xfId="1763"/>
    <cellStyle name="요약 7" xfId="1764"/>
    <cellStyle name="요약 8" xfId="1765"/>
    <cellStyle name="요약 9" xfId="1766"/>
    <cellStyle name="원" xfId="1767"/>
    <cellStyle name="원_손익계산서(05년6월)_2" xfId="1768"/>
    <cellStyle name="원통화" xfId="1769"/>
    <cellStyle name="유입" xfId="1770"/>
    <cellStyle name="一般_GARMENT STEP FORM HK" xfId="1771"/>
    <cellStyle name="입력 10" xfId="1772"/>
    <cellStyle name="입력 11" xfId="1773"/>
    <cellStyle name="입력 12" xfId="1774"/>
    <cellStyle name="입력 13" xfId="1775"/>
    <cellStyle name="입력 14" xfId="1776"/>
    <cellStyle name="입력 15" xfId="1777"/>
    <cellStyle name="입력 16" xfId="1778"/>
    <cellStyle name="입력 17" xfId="1779"/>
    <cellStyle name="입력 18" xfId="1780"/>
    <cellStyle name="입력 19" xfId="1781"/>
    <cellStyle name="입력 2" xfId="1782"/>
    <cellStyle name="입력 20" xfId="1783"/>
    <cellStyle name="입력 21" xfId="1784"/>
    <cellStyle name="입력 22" xfId="1785"/>
    <cellStyle name="입력 23" xfId="1786"/>
    <cellStyle name="입력 24" xfId="1787"/>
    <cellStyle name="입력 25" xfId="1788"/>
    <cellStyle name="입력 26" xfId="1789"/>
    <cellStyle name="입력 27" xfId="1790"/>
    <cellStyle name="입력 28" xfId="1791"/>
    <cellStyle name="입력 29" xfId="1792"/>
    <cellStyle name="입력 3" xfId="1793"/>
    <cellStyle name="입력 30" xfId="1794"/>
    <cellStyle name="입력 31" xfId="1795"/>
    <cellStyle name="입력 4" xfId="1796"/>
    <cellStyle name="입력 5" xfId="1797"/>
    <cellStyle name="입력 6" xfId="1798"/>
    <cellStyle name="입력 7" xfId="1799"/>
    <cellStyle name="입력 8" xfId="1800"/>
    <cellStyle name="입력 9" xfId="1801"/>
    <cellStyle name="자리수" xfId="1802"/>
    <cellStyle name="자리수0" xfId="1803"/>
    <cellStyle name="제목" xfId="1804" builtinId="15" customBuiltin="1"/>
    <cellStyle name="제목 1 10" xfId="1805"/>
    <cellStyle name="제목 1 11" xfId="1806"/>
    <cellStyle name="제목 1 12" xfId="1807"/>
    <cellStyle name="제목 1 13" xfId="1808"/>
    <cellStyle name="제목 1 14" xfId="1809"/>
    <cellStyle name="제목 1 15" xfId="1810"/>
    <cellStyle name="제목 1 16" xfId="1811"/>
    <cellStyle name="제목 1 17" xfId="1812"/>
    <cellStyle name="제목 1 18" xfId="1813"/>
    <cellStyle name="제목 1 19" xfId="1814"/>
    <cellStyle name="제목 1 2" xfId="1815"/>
    <cellStyle name="제목 1 20" xfId="1816"/>
    <cellStyle name="제목 1 21" xfId="1817"/>
    <cellStyle name="제목 1 22" xfId="1818"/>
    <cellStyle name="제목 1 23" xfId="1819"/>
    <cellStyle name="제목 1 24" xfId="1820"/>
    <cellStyle name="제목 1 25" xfId="1821"/>
    <cellStyle name="제목 1 26" xfId="1822"/>
    <cellStyle name="제목 1 27" xfId="1823"/>
    <cellStyle name="제목 1 28" xfId="1824"/>
    <cellStyle name="제목 1 29" xfId="1825"/>
    <cellStyle name="제목 1 3" xfId="1826"/>
    <cellStyle name="제목 1 30" xfId="1827"/>
    <cellStyle name="제목 1 31" xfId="1828"/>
    <cellStyle name="제목 1 4" xfId="1829"/>
    <cellStyle name="제목 1 5" xfId="1830"/>
    <cellStyle name="제목 1 6" xfId="1831"/>
    <cellStyle name="제목 1 7" xfId="1832"/>
    <cellStyle name="제목 1 8" xfId="1833"/>
    <cellStyle name="제목 1 9" xfId="1834"/>
    <cellStyle name="제목 10" xfId="1835"/>
    <cellStyle name="제목 11" xfId="1836"/>
    <cellStyle name="제목 12" xfId="1837"/>
    <cellStyle name="제목 13" xfId="1838"/>
    <cellStyle name="제목 14" xfId="1839"/>
    <cellStyle name="제목 15" xfId="1840"/>
    <cellStyle name="제목 16" xfId="1841"/>
    <cellStyle name="제목 17" xfId="1842"/>
    <cellStyle name="제목 18" xfId="1843"/>
    <cellStyle name="제목 19" xfId="1844"/>
    <cellStyle name="제목 2 10" xfId="1845"/>
    <cellStyle name="제목 2 11" xfId="1846"/>
    <cellStyle name="제목 2 12" xfId="1847"/>
    <cellStyle name="제목 2 13" xfId="1848"/>
    <cellStyle name="제목 2 14" xfId="1849"/>
    <cellStyle name="제목 2 15" xfId="1850"/>
    <cellStyle name="제목 2 16" xfId="1851"/>
    <cellStyle name="제목 2 17" xfId="1852"/>
    <cellStyle name="제목 2 18" xfId="1853"/>
    <cellStyle name="제목 2 19" xfId="1854"/>
    <cellStyle name="제목 2 2" xfId="1855"/>
    <cellStyle name="제목 2 20" xfId="1856"/>
    <cellStyle name="제목 2 21" xfId="1857"/>
    <cellStyle name="제목 2 22" xfId="1858"/>
    <cellStyle name="제목 2 23" xfId="1859"/>
    <cellStyle name="제목 2 24" xfId="1860"/>
    <cellStyle name="제목 2 25" xfId="1861"/>
    <cellStyle name="제목 2 26" xfId="1862"/>
    <cellStyle name="제목 2 27" xfId="1863"/>
    <cellStyle name="제목 2 28" xfId="1864"/>
    <cellStyle name="제목 2 29" xfId="1865"/>
    <cellStyle name="제목 2 3" xfId="1866"/>
    <cellStyle name="제목 2 30" xfId="1867"/>
    <cellStyle name="제목 2 31" xfId="1868"/>
    <cellStyle name="제목 2 4" xfId="1869"/>
    <cellStyle name="제목 2 5" xfId="1870"/>
    <cellStyle name="제목 2 6" xfId="1871"/>
    <cellStyle name="제목 2 7" xfId="1872"/>
    <cellStyle name="제목 2 8" xfId="1873"/>
    <cellStyle name="제목 2 9" xfId="1874"/>
    <cellStyle name="제목 20" xfId="1875"/>
    <cellStyle name="제목 21" xfId="1876"/>
    <cellStyle name="제목 22" xfId="1877"/>
    <cellStyle name="제목 23" xfId="1878"/>
    <cellStyle name="제목 24" xfId="1879"/>
    <cellStyle name="제목 25" xfId="1880"/>
    <cellStyle name="제목 26" xfId="1881"/>
    <cellStyle name="제목 3 10" xfId="1882"/>
    <cellStyle name="제목 3 11" xfId="1883"/>
    <cellStyle name="제목 3 12" xfId="1884"/>
    <cellStyle name="제목 3 13" xfId="1885"/>
    <cellStyle name="제목 3 14" xfId="1886"/>
    <cellStyle name="제목 3 15" xfId="1887"/>
    <cellStyle name="제목 3 16" xfId="1888"/>
    <cellStyle name="제목 3 17" xfId="1889"/>
    <cellStyle name="제목 3 18" xfId="1890"/>
    <cellStyle name="제목 3 19" xfId="1891"/>
    <cellStyle name="제목 3 2" xfId="1892"/>
    <cellStyle name="제목 3 20" xfId="1893"/>
    <cellStyle name="제목 3 21" xfId="1894"/>
    <cellStyle name="제목 3 22" xfId="1895"/>
    <cellStyle name="제목 3 23" xfId="1896"/>
    <cellStyle name="제목 3 24" xfId="1897"/>
    <cellStyle name="제목 3 25" xfId="1898"/>
    <cellStyle name="제목 3 26" xfId="1899"/>
    <cellStyle name="제목 3 27" xfId="1900"/>
    <cellStyle name="제목 3 28" xfId="1901"/>
    <cellStyle name="제목 3 29" xfId="1902"/>
    <cellStyle name="제목 3 3" xfId="1903"/>
    <cellStyle name="제목 3 30" xfId="1904"/>
    <cellStyle name="제목 3 31" xfId="1905"/>
    <cellStyle name="제목 3 4" xfId="1906"/>
    <cellStyle name="제목 3 5" xfId="1907"/>
    <cellStyle name="제목 3 6" xfId="1908"/>
    <cellStyle name="제목 3 7" xfId="1909"/>
    <cellStyle name="제목 3 8" xfId="1910"/>
    <cellStyle name="제목 3 9" xfId="1911"/>
    <cellStyle name="제목 4 10" xfId="1912"/>
    <cellStyle name="제목 4 11" xfId="1913"/>
    <cellStyle name="제목 4 12" xfId="1914"/>
    <cellStyle name="제목 4 13" xfId="1915"/>
    <cellStyle name="제목 4 14" xfId="1916"/>
    <cellStyle name="제목 4 15" xfId="1917"/>
    <cellStyle name="제목 4 16" xfId="1918"/>
    <cellStyle name="제목 4 17" xfId="1919"/>
    <cellStyle name="제목 4 18" xfId="1920"/>
    <cellStyle name="제목 4 19" xfId="1921"/>
    <cellStyle name="제목 4 2" xfId="1922"/>
    <cellStyle name="제목 4 20" xfId="1923"/>
    <cellStyle name="제목 4 21" xfId="1924"/>
    <cellStyle name="제목 4 22" xfId="1925"/>
    <cellStyle name="제목 4 23" xfId="1926"/>
    <cellStyle name="제목 4 24" xfId="1927"/>
    <cellStyle name="제목 4 25" xfId="1928"/>
    <cellStyle name="제목 4 26" xfId="1929"/>
    <cellStyle name="제목 4 27" xfId="1930"/>
    <cellStyle name="제목 4 28" xfId="1931"/>
    <cellStyle name="제목 4 29" xfId="1932"/>
    <cellStyle name="제목 4 3" xfId="1933"/>
    <cellStyle name="제목 4 30" xfId="1934"/>
    <cellStyle name="제목 4 31" xfId="1935"/>
    <cellStyle name="제목 4 4" xfId="1936"/>
    <cellStyle name="제목 4 5" xfId="1937"/>
    <cellStyle name="제목 4 6" xfId="1938"/>
    <cellStyle name="제목 4 7" xfId="1939"/>
    <cellStyle name="제목 4 8" xfId="1940"/>
    <cellStyle name="제목 4 9" xfId="1941"/>
    <cellStyle name="제목 5" xfId="1942"/>
    <cellStyle name="제목 6" xfId="1943"/>
    <cellStyle name="제목 7" xfId="1944"/>
    <cellStyle name="제목 8" xfId="1945"/>
    <cellStyle name="제목 9" xfId="1946"/>
    <cellStyle name="제목1" xfId="1947"/>
    <cellStyle name="제목2" xfId="1948"/>
    <cellStyle name="좋은양식" xfId="1949"/>
    <cellStyle name="좋음 10" xfId="1950"/>
    <cellStyle name="좋음 11" xfId="1951"/>
    <cellStyle name="좋음 12" xfId="1952"/>
    <cellStyle name="좋음 13" xfId="1953"/>
    <cellStyle name="좋음 14" xfId="1954"/>
    <cellStyle name="좋음 15" xfId="1955"/>
    <cellStyle name="좋음 16" xfId="1956"/>
    <cellStyle name="좋음 17" xfId="1957"/>
    <cellStyle name="좋음 18" xfId="1958"/>
    <cellStyle name="좋음 19" xfId="1959"/>
    <cellStyle name="좋음 2" xfId="1960"/>
    <cellStyle name="좋음 20" xfId="1961"/>
    <cellStyle name="좋음 21" xfId="1962"/>
    <cellStyle name="좋음 22" xfId="1963"/>
    <cellStyle name="좋음 23" xfId="1964"/>
    <cellStyle name="좋음 24" xfId="1965"/>
    <cellStyle name="좋음 25" xfId="1966"/>
    <cellStyle name="좋음 26" xfId="1967"/>
    <cellStyle name="좋음 27" xfId="1968"/>
    <cellStyle name="좋음 28" xfId="1969"/>
    <cellStyle name="좋음 29" xfId="1970"/>
    <cellStyle name="좋음 3" xfId="1971"/>
    <cellStyle name="좋음 30" xfId="1972"/>
    <cellStyle name="좋음 31" xfId="1973"/>
    <cellStyle name="좋음 4" xfId="1974"/>
    <cellStyle name="좋음 5" xfId="1975"/>
    <cellStyle name="좋음 6" xfId="1976"/>
    <cellStyle name="좋음 7" xfId="1977"/>
    <cellStyle name="좋음 8" xfId="1978"/>
    <cellStyle name="좋음 9" xfId="1979"/>
    <cellStyle name="지정되지 않음" xfId="1980"/>
    <cellStyle name="钎霖_惫寇bal" xfId="1981"/>
    <cellStyle name="千分位[0]_GARMENT STEP FORM HK" xfId="1982"/>
    <cellStyle name="千分位_GARMENT STEP FORM HK" xfId="1983"/>
    <cellStyle name="千位分隔[0]_심천지점 연체채권 보고서" xfId="1984"/>
    <cellStyle name="출력 10" xfId="1985"/>
    <cellStyle name="출력 11" xfId="1986"/>
    <cellStyle name="출력 12" xfId="1987"/>
    <cellStyle name="출력 13" xfId="1988"/>
    <cellStyle name="출력 14" xfId="1989"/>
    <cellStyle name="출력 15" xfId="1990"/>
    <cellStyle name="출력 16" xfId="1991"/>
    <cellStyle name="출력 17" xfId="1992"/>
    <cellStyle name="출력 18" xfId="1993"/>
    <cellStyle name="출력 19" xfId="1994"/>
    <cellStyle name="출력 2" xfId="1995"/>
    <cellStyle name="출력 20" xfId="1996"/>
    <cellStyle name="출력 21" xfId="1997"/>
    <cellStyle name="출력 22" xfId="1998"/>
    <cellStyle name="출력 23" xfId="1999"/>
    <cellStyle name="출력 24" xfId="2000"/>
    <cellStyle name="출력 25" xfId="2001"/>
    <cellStyle name="출력 26" xfId="2002"/>
    <cellStyle name="출력 27" xfId="2003"/>
    <cellStyle name="출력 28" xfId="2004"/>
    <cellStyle name="출력 29" xfId="2005"/>
    <cellStyle name="출력 3" xfId="2006"/>
    <cellStyle name="출력 30" xfId="2007"/>
    <cellStyle name="출력 31" xfId="2008"/>
    <cellStyle name="출력 4" xfId="2009"/>
    <cellStyle name="출력 5" xfId="2010"/>
    <cellStyle name="출력 6" xfId="2011"/>
    <cellStyle name="출력 7" xfId="2012"/>
    <cellStyle name="출력 8" xfId="2013"/>
    <cellStyle name="출력 9" xfId="2014"/>
    <cellStyle name="콤냡?&lt;_x000f_$??: `1_1" xfId="2015"/>
    <cellStyle name="콤냡?&lt;_x000f_$??:_x0009_`1_1" xfId="2016"/>
    <cellStyle name="콤마 [0]" xfId="2017"/>
    <cellStyle name="콤마_  RANGE " xfId="2018"/>
    <cellStyle name="통T" xfId="2019"/>
    <cellStyle name="通貨 [0.00]_BOND SELL LIST" xfId="2020"/>
    <cellStyle name="통화 [0] 2" xfId="2021"/>
    <cellStyle name="통화 [0] 3" xfId="2022"/>
    <cellStyle name="通貨_BOND SELL LIST" xfId="2023"/>
    <cellStyle name="트럭" xfId="2024"/>
    <cellStyle name="퍼센트" xfId="2025"/>
    <cellStyle name="평" xfId="2026"/>
    <cellStyle name="표준" xfId="0" builtinId="0" customBuiltin="1"/>
    <cellStyle name="표준 10" xfId="2027"/>
    <cellStyle name="표준 10 2" xfId="2028"/>
    <cellStyle name="표준 11" xfId="2029"/>
    <cellStyle name="표준 12" xfId="2030"/>
    <cellStyle name="표준 13" xfId="2031"/>
    <cellStyle name="표준 14" xfId="2032"/>
    <cellStyle name="표준 15" xfId="2033"/>
    <cellStyle name="표준 16" xfId="2034"/>
    <cellStyle name="표준 17" xfId="2035"/>
    <cellStyle name="표준 18" xfId="2036"/>
    <cellStyle name="표준 19" xfId="2037"/>
    <cellStyle name="표준 2 10" xfId="2038"/>
    <cellStyle name="표준 2 11" xfId="2039"/>
    <cellStyle name="표준 2 12" xfId="2040"/>
    <cellStyle name="표준 2 13" xfId="2041"/>
    <cellStyle name="표준 2 14" xfId="2042"/>
    <cellStyle name="표준 2 2" xfId="2043"/>
    <cellStyle name="표준 2 2 10" xfId="2044"/>
    <cellStyle name="표준 2 2 11" xfId="2045"/>
    <cellStyle name="표준 2 2 12" xfId="2046"/>
    <cellStyle name="표준 2 2 13" xfId="2047"/>
    <cellStyle name="표준 2 2 14" xfId="2048"/>
    <cellStyle name="표준 2 2 2" xfId="2049"/>
    <cellStyle name="표준 2 2 2 10" xfId="2050"/>
    <cellStyle name="표준 2 2 2 11" xfId="2051"/>
    <cellStyle name="표준 2 2 2 12" xfId="2052"/>
    <cellStyle name="표준 2 2 2 2" xfId="2053"/>
    <cellStyle name="표준 2 2 2 3" xfId="2054"/>
    <cellStyle name="표준 2 2 2 4" xfId="2055"/>
    <cellStyle name="표준 2 2 2 5" xfId="2056"/>
    <cellStyle name="표준 2 2 2 6" xfId="2057"/>
    <cellStyle name="표준 2 2 2 7" xfId="2058"/>
    <cellStyle name="표준 2 2 2 8" xfId="2059"/>
    <cellStyle name="표준 2 2 2 9" xfId="2060"/>
    <cellStyle name="표준 2 2 3" xfId="2061"/>
    <cellStyle name="표준 2 2 4" xfId="2062"/>
    <cellStyle name="표준 2 2 5" xfId="2063"/>
    <cellStyle name="표준 2 2 6" xfId="2064"/>
    <cellStyle name="표준 2 2 7" xfId="2065"/>
    <cellStyle name="표준 2 2 8" xfId="2066"/>
    <cellStyle name="표준 2 2 9" xfId="2067"/>
    <cellStyle name="표준 2 25" xfId="2068"/>
    <cellStyle name="표준 2 3" xfId="2069"/>
    <cellStyle name="표준 2 3 2" xfId="2070"/>
    <cellStyle name="표준 2 4" xfId="2071"/>
    <cellStyle name="표준 2 4 2" xfId="2072"/>
    <cellStyle name="표준 2 5" xfId="2073"/>
    <cellStyle name="표준 2 6" xfId="2074"/>
    <cellStyle name="표준 2 7" xfId="2075"/>
    <cellStyle name="표준 2 8" xfId="2076"/>
    <cellStyle name="표준 2 9" xfId="2077"/>
    <cellStyle name="표준 20" xfId="2078"/>
    <cellStyle name="표준 21" xfId="2079"/>
    <cellStyle name="표준 22" xfId="2080"/>
    <cellStyle name="표준 23" xfId="2081"/>
    <cellStyle name="표준 3" xfId="2082"/>
    <cellStyle name="표준 3 10" xfId="2083"/>
    <cellStyle name="표준 3 2" xfId="2084"/>
    <cellStyle name="표준 3 2 2" xfId="2085"/>
    <cellStyle name="표준 3 3" xfId="2086"/>
    <cellStyle name="표준 3 3 2" xfId="2087"/>
    <cellStyle name="표준 32 10" xfId="2088"/>
    <cellStyle name="표준 33" xfId="2089"/>
    <cellStyle name="표준 34" xfId="2090"/>
    <cellStyle name="표준 35" xfId="2091"/>
    <cellStyle name="표준 36" xfId="2092"/>
    <cellStyle name="표준 37" xfId="2093"/>
    <cellStyle name="표준 38" xfId="2094"/>
    <cellStyle name="표준 39" xfId="2095"/>
    <cellStyle name="표준 4" xfId="2096"/>
    <cellStyle name="표준 4 2" xfId="2097"/>
    <cellStyle name="표준 4 3" xfId="2098"/>
    <cellStyle name="표준 4 4" xfId="2099"/>
    <cellStyle name="표준 40" xfId="2100"/>
    <cellStyle name="표준 41" xfId="2101"/>
    <cellStyle name="표준 42" xfId="2102"/>
    <cellStyle name="표준 43" xfId="2103"/>
    <cellStyle name="표준 46" xfId="2104"/>
    <cellStyle name="표준 47" xfId="2105"/>
    <cellStyle name="표준 48" xfId="2106"/>
    <cellStyle name="표준 49" xfId="2107"/>
    <cellStyle name="표준 5" xfId="2108"/>
    <cellStyle name="표준 5 2" xfId="2109"/>
    <cellStyle name="표준 6" xfId="2110"/>
    <cellStyle name="표준 6 2" xfId="2111"/>
    <cellStyle name="표준 69 3" xfId="2112"/>
    <cellStyle name="표준 7 2" xfId="2113"/>
    <cellStyle name="표준 88" xfId="2114"/>
    <cellStyle name="표준 89" xfId="2115"/>
    <cellStyle name="표준 9" xfId="2116"/>
    <cellStyle name="標準_ACCRUED INT9812" xfId="2117"/>
    <cellStyle name="표준_Sheet1" xfId="2118"/>
    <cellStyle name="표준_우리금융카드부문 1" xfId="2119"/>
    <cellStyle name="표준_자회사결산실적_2002.03" xfId="2120"/>
    <cellStyle name="표준_재무분석자료 수정 7_Fact Book (2009 1Q)목차" xfId="2121"/>
    <cellStyle name="표준_충당금예측" xfId="2122"/>
    <cellStyle name="하이퍼링크" xfId="2123" builtinId="8"/>
    <cellStyle name="합산" xfId="2124"/>
    <cellStyle name="桁?切り [0.00]_Hitachi M Report 0527 Fax Cover" xfId="2125"/>
    <cellStyle name="桁?切り_Hitachi M Report 0527 Fax Cover" xfId="2126"/>
    <cellStyle name="桁区切り [0.00]_FLCCHECKTOKYO(0106)" xfId="2127"/>
    <cellStyle name="桁区切り_FLCCHECKTOKYO(0106)" xfId="2128"/>
    <cellStyle name="貨幣 [0]_GARMENT STEP FORM HK" xfId="2129"/>
    <cellStyle name="貨幣_GARMENT STEP FORM HK" xfId="2130"/>
    <cellStyle name="화폐기호" xfId="2131"/>
    <cellStyle name="화폐기호0" xfId="2132"/>
    <cellStyle name="확인" xfId="213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57728"/>
        <c:axId val="6765964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61184"/>
        <c:axId val="67675264"/>
      </c:lineChart>
      <c:catAx>
        <c:axId val="67657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6765964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6765964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67657728"/>
        <c:crosses val="autoZero"/>
        <c:crossBetween val="between"/>
      </c:valAx>
      <c:catAx>
        <c:axId val="676611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675264"/>
        <c:crosses val="autoZero"/>
        <c:auto val="0"/>
        <c:lblAlgn val="ctr"/>
        <c:lblOffset val="100"/>
        <c:noMultiLvlLbl val="0"/>
      </c:catAx>
      <c:valAx>
        <c:axId val="67675264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6766118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88896"/>
        <c:axId val="7029081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96704"/>
        <c:axId val="70298240"/>
      </c:lineChart>
      <c:catAx>
        <c:axId val="70288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02908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7029081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0288896"/>
        <c:crosses val="autoZero"/>
        <c:crossBetween val="between"/>
      </c:valAx>
      <c:catAx>
        <c:axId val="70296704"/>
        <c:scaling>
          <c:orientation val="minMax"/>
        </c:scaling>
        <c:delete val="1"/>
        <c:axPos val="b"/>
        <c:majorTickMark val="out"/>
        <c:minorTickMark val="none"/>
        <c:tickLblPos val="nextTo"/>
        <c:crossAx val="70298240"/>
        <c:crosses val="autoZero"/>
        <c:auto val="0"/>
        <c:lblAlgn val="ctr"/>
        <c:lblOffset val="100"/>
        <c:noMultiLvlLbl val="0"/>
      </c:catAx>
      <c:valAx>
        <c:axId val="70298240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7029670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22304"/>
        <c:axId val="7072422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34208"/>
        <c:axId val="70735744"/>
      </c:lineChart>
      <c:catAx>
        <c:axId val="70722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07242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7072422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0722304"/>
        <c:crosses val="autoZero"/>
        <c:crossBetween val="between"/>
      </c:valAx>
      <c:catAx>
        <c:axId val="70734208"/>
        <c:scaling>
          <c:orientation val="minMax"/>
        </c:scaling>
        <c:delete val="1"/>
        <c:axPos val="b"/>
        <c:majorTickMark val="out"/>
        <c:minorTickMark val="none"/>
        <c:tickLblPos val="nextTo"/>
        <c:crossAx val="70735744"/>
        <c:crosses val="autoZero"/>
        <c:auto val="0"/>
        <c:lblAlgn val="ctr"/>
        <c:lblOffset val="100"/>
        <c:noMultiLvlLbl val="0"/>
      </c:catAx>
      <c:valAx>
        <c:axId val="70735744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073420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4784"/>
        <c:axId val="7077670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8240"/>
        <c:axId val="70386816"/>
      </c:lineChart>
      <c:catAx>
        <c:axId val="70774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077670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7077670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0774784"/>
        <c:crosses val="autoZero"/>
        <c:crossBetween val="between"/>
      </c:valAx>
      <c:catAx>
        <c:axId val="70778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0386816"/>
        <c:crosses val="autoZero"/>
        <c:auto val="0"/>
        <c:lblAlgn val="ctr"/>
        <c:lblOffset val="100"/>
        <c:noMultiLvlLbl val="0"/>
      </c:catAx>
      <c:valAx>
        <c:axId val="7038681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077824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79904"/>
        <c:axId val="69731072"/>
        <c:axId val="0"/>
      </c:area3DChart>
      <c:catAx>
        <c:axId val="89979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69731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73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899799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05952"/>
        <c:axId val="69807488"/>
        <c:axId val="0"/>
      </c:area3DChart>
      <c:catAx>
        <c:axId val="69805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69807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807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698059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65152"/>
        <c:axId val="68066688"/>
        <c:axId val="0"/>
      </c:area3DChart>
      <c:catAx>
        <c:axId val="68065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6806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8066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680651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6000"/>
        <c:axId val="7105817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712"/>
        <c:axId val="71061504"/>
      </c:lineChart>
      <c:catAx>
        <c:axId val="71056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105817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7105817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1056000"/>
        <c:crosses val="autoZero"/>
        <c:crossBetween val="between"/>
      </c:valAx>
      <c:catAx>
        <c:axId val="7105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71061504"/>
        <c:crosses val="autoZero"/>
        <c:auto val="0"/>
        <c:lblAlgn val="ctr"/>
        <c:lblOffset val="100"/>
        <c:noMultiLvlLbl val="0"/>
      </c:catAx>
      <c:valAx>
        <c:axId val="71061504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105971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43648"/>
        <c:axId val="7124992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51456"/>
        <c:axId val="71252992"/>
      </c:lineChart>
      <c:catAx>
        <c:axId val="71243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124992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7124992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1243648"/>
        <c:crosses val="autoZero"/>
        <c:crossBetween val="between"/>
      </c:valAx>
      <c:catAx>
        <c:axId val="71251456"/>
        <c:scaling>
          <c:orientation val="minMax"/>
        </c:scaling>
        <c:delete val="1"/>
        <c:axPos val="b"/>
        <c:majorTickMark val="out"/>
        <c:minorTickMark val="none"/>
        <c:tickLblPos val="nextTo"/>
        <c:crossAx val="71252992"/>
        <c:crosses val="autoZero"/>
        <c:auto val="0"/>
        <c:lblAlgn val="ctr"/>
        <c:lblOffset val="100"/>
        <c:noMultiLvlLbl val="0"/>
      </c:catAx>
      <c:valAx>
        <c:axId val="7125299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125145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996928"/>
        <c:axId val="7199884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04736"/>
        <c:axId val="72006272"/>
      </c:lineChart>
      <c:catAx>
        <c:axId val="71996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199884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7199884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1996928"/>
        <c:crosses val="autoZero"/>
        <c:crossBetween val="between"/>
      </c:valAx>
      <c:catAx>
        <c:axId val="72004736"/>
        <c:scaling>
          <c:orientation val="minMax"/>
        </c:scaling>
        <c:delete val="1"/>
        <c:axPos val="b"/>
        <c:majorTickMark val="out"/>
        <c:minorTickMark val="none"/>
        <c:tickLblPos val="nextTo"/>
        <c:crossAx val="72006272"/>
        <c:crosses val="autoZero"/>
        <c:auto val="0"/>
        <c:lblAlgn val="ctr"/>
        <c:lblOffset val="100"/>
        <c:noMultiLvlLbl val="0"/>
      </c:catAx>
      <c:valAx>
        <c:axId val="72006272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7200473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52800"/>
        <c:axId val="7185472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56512"/>
        <c:axId val="71858048"/>
      </c:lineChart>
      <c:catAx>
        <c:axId val="71852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185472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7185472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1852800"/>
        <c:crosses val="autoZero"/>
        <c:crossBetween val="between"/>
      </c:valAx>
      <c:catAx>
        <c:axId val="71856512"/>
        <c:scaling>
          <c:orientation val="minMax"/>
        </c:scaling>
        <c:delete val="1"/>
        <c:axPos val="b"/>
        <c:majorTickMark val="out"/>
        <c:minorTickMark val="none"/>
        <c:tickLblPos val="nextTo"/>
        <c:crossAx val="71858048"/>
        <c:crosses val="autoZero"/>
        <c:auto val="0"/>
        <c:lblAlgn val="ctr"/>
        <c:lblOffset val="100"/>
        <c:noMultiLvlLbl val="0"/>
      </c:catAx>
      <c:valAx>
        <c:axId val="7185804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185651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88896"/>
        <c:axId val="7189081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92352"/>
        <c:axId val="71906432"/>
      </c:lineChart>
      <c:catAx>
        <c:axId val="71888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18908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7189081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1888896"/>
        <c:crosses val="autoZero"/>
        <c:crossBetween val="between"/>
      </c:valAx>
      <c:catAx>
        <c:axId val="71892352"/>
        <c:scaling>
          <c:orientation val="minMax"/>
        </c:scaling>
        <c:delete val="1"/>
        <c:axPos val="b"/>
        <c:majorTickMark val="out"/>
        <c:minorTickMark val="none"/>
        <c:tickLblPos val="nextTo"/>
        <c:crossAx val="71906432"/>
        <c:crosses val="autoZero"/>
        <c:auto val="0"/>
        <c:lblAlgn val="ctr"/>
        <c:lblOffset val="100"/>
        <c:noMultiLvlLbl val="0"/>
      </c:catAx>
      <c:valAx>
        <c:axId val="7190643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189235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96064"/>
        <c:axId val="6789760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99392"/>
        <c:axId val="67900928"/>
      </c:lineChart>
      <c:catAx>
        <c:axId val="67896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678976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6789760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67896064"/>
        <c:crosses val="autoZero"/>
        <c:crossBetween val="between"/>
      </c:valAx>
      <c:catAx>
        <c:axId val="67899392"/>
        <c:scaling>
          <c:orientation val="minMax"/>
        </c:scaling>
        <c:delete val="1"/>
        <c:axPos val="b"/>
        <c:majorTickMark val="out"/>
        <c:minorTickMark val="none"/>
        <c:tickLblPos val="nextTo"/>
        <c:crossAx val="67900928"/>
        <c:crosses val="autoZero"/>
        <c:auto val="0"/>
        <c:lblAlgn val="ctr"/>
        <c:lblOffset val="100"/>
        <c:noMultiLvlLbl val="0"/>
      </c:catAx>
      <c:valAx>
        <c:axId val="67900928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789939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939712"/>
        <c:axId val="6794188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943424"/>
        <c:axId val="67953408"/>
      </c:lineChart>
      <c:catAx>
        <c:axId val="67939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6794188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6794188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67939712"/>
        <c:crosses val="autoZero"/>
        <c:crossBetween val="between"/>
      </c:valAx>
      <c:catAx>
        <c:axId val="67943424"/>
        <c:scaling>
          <c:orientation val="minMax"/>
        </c:scaling>
        <c:delete val="1"/>
        <c:axPos val="b"/>
        <c:majorTickMark val="out"/>
        <c:minorTickMark val="none"/>
        <c:tickLblPos val="nextTo"/>
        <c:crossAx val="67953408"/>
        <c:crosses val="autoZero"/>
        <c:auto val="0"/>
        <c:lblAlgn val="ctr"/>
        <c:lblOffset val="100"/>
        <c:noMultiLvlLbl val="0"/>
      </c:catAx>
      <c:valAx>
        <c:axId val="6795340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6794342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24960"/>
        <c:axId val="7023078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2320"/>
        <c:axId val="70897664"/>
      </c:lineChart>
      <c:catAx>
        <c:axId val="68024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023078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7023078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68024960"/>
        <c:crosses val="autoZero"/>
        <c:crossBetween val="between"/>
      </c:valAx>
      <c:catAx>
        <c:axId val="70232320"/>
        <c:scaling>
          <c:orientation val="minMax"/>
        </c:scaling>
        <c:delete val="1"/>
        <c:axPos val="b"/>
        <c:majorTickMark val="out"/>
        <c:minorTickMark val="none"/>
        <c:tickLblPos val="nextTo"/>
        <c:crossAx val="70897664"/>
        <c:crosses val="autoZero"/>
        <c:auto val="0"/>
        <c:lblAlgn val="ctr"/>
        <c:lblOffset val="100"/>
        <c:noMultiLvlLbl val="0"/>
      </c:catAx>
      <c:valAx>
        <c:axId val="70897664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7023232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41984"/>
        <c:axId val="70043520"/>
        <c:axId val="0"/>
      </c:area3DChart>
      <c:catAx>
        <c:axId val="70041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7004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043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7004198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hyperlink" Target="#ToC!A1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hyperlink" Target="#ToC!A1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chart" Target="../charts/chart17.xml"/><Relationship Id="rId7" Type="http://schemas.openxmlformats.org/officeDocument/2006/relationships/hyperlink" Target="#ToC!A1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oC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oC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oC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ToC!A1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http://www.woorifg.com/" TargetMode="Externa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image" Target="../media/image16.png"/><Relationship Id="rId4" Type="http://schemas.openxmlformats.org/officeDocument/2006/relationships/hyperlink" Target="#ToC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image" Target="../media/image14.png"/><Relationship Id="rId4" Type="http://schemas.openxmlformats.org/officeDocument/2006/relationships/hyperlink" Target="#ToC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ToC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hyperlink" Target="#ToC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8.png"/><Relationship Id="rId5" Type="http://schemas.openxmlformats.org/officeDocument/2006/relationships/hyperlink" Target="#ToC!A1"/><Relationship Id="rId4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hyperlink" Target="#ToC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hyperlink" Target="#ToC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hyperlink" Target="#ToC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hyperlink" Target="#ToC!A1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hyperlink" Target="#ToC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ToC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image" Target="../media/image14.png"/><Relationship Id="rId4" Type="http://schemas.openxmlformats.org/officeDocument/2006/relationships/chart" Target="../charts/chart5.xml"/><Relationship Id="rId9" Type="http://schemas.openxmlformats.org/officeDocument/2006/relationships/hyperlink" Target="#ToC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5.png"/><Relationship Id="rId4" Type="http://schemas.openxmlformats.org/officeDocument/2006/relationships/hyperlink" Target="#To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581024</xdr:colOff>
      <xdr:row>42</xdr:row>
      <xdr:rowOff>62684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2" t="9123" r="4947" b="5289"/>
        <a:stretch/>
      </xdr:blipFill>
      <xdr:spPr>
        <a:xfrm>
          <a:off x="0" y="0"/>
          <a:ext cx="9934574" cy="6863534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11</xdr:row>
      <xdr:rowOff>38100</xdr:rowOff>
    </xdr:from>
    <xdr:to>
      <xdr:col>11</xdr:col>
      <xdr:colOff>447675</xdr:colOff>
      <xdr:row>22</xdr:row>
      <xdr:rowOff>38100</xdr:rowOff>
    </xdr:to>
    <xdr:sp macro="" textlink="">
      <xdr:nvSpPr>
        <xdr:cNvPr id="7" name="Text Box 4"/>
        <xdr:cNvSpPr txBox="1">
          <a:spLocks noChangeArrowheads="1"/>
        </xdr:cNvSpPr>
      </xdr:nvSpPr>
      <xdr:spPr bwMode="gray">
        <a:xfrm>
          <a:off x="2886075" y="1819275"/>
          <a:ext cx="42672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anchorCtr="0" upright="1"/>
        <a:lstStyle/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2017 1Q</a:t>
          </a:r>
        </a:p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FACT BOOK</a:t>
          </a:r>
        </a:p>
      </xdr:txBody>
    </xdr:sp>
    <xdr:clientData/>
  </xdr:twoCellAnchor>
  <xdr:twoCellAnchor>
    <xdr:from>
      <xdr:col>0</xdr:col>
      <xdr:colOff>133350</xdr:colOff>
      <xdr:row>1</xdr:row>
      <xdr:rowOff>76200</xdr:rowOff>
    </xdr:from>
    <xdr:to>
      <xdr:col>4</xdr:col>
      <xdr:colOff>96756</xdr:colOff>
      <xdr:row>7</xdr:row>
      <xdr:rowOff>120819</xdr:rowOff>
    </xdr:to>
    <xdr:grpSp>
      <xdr:nvGrpSpPr>
        <xdr:cNvPr id="5" name="그룹 4"/>
        <xdr:cNvGrpSpPr/>
      </xdr:nvGrpSpPr>
      <xdr:grpSpPr>
        <a:xfrm>
          <a:off x="133350" y="238125"/>
          <a:ext cx="2401806" cy="1016169"/>
          <a:chOff x="388461" y="545124"/>
          <a:chExt cx="2401806" cy="1016169"/>
        </a:xfrm>
      </xdr:grpSpPr>
      <xdr:pic>
        <xdr:nvPicPr>
          <xdr:cNvPr id="10" name="그림 9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4446"/>
          <a:stretch/>
        </xdr:blipFill>
        <xdr:spPr>
          <a:xfrm>
            <a:off x="409815" y="1193529"/>
            <a:ext cx="2279186" cy="367764"/>
          </a:xfrm>
          <a:prstGeom prst="rect">
            <a:avLst/>
          </a:prstGeom>
        </xdr:spPr>
      </xdr:pic>
      <xdr:grpSp>
        <xdr:nvGrpSpPr>
          <xdr:cNvPr id="11" name="그룹 10"/>
          <xdr:cNvGrpSpPr/>
        </xdr:nvGrpSpPr>
        <xdr:grpSpPr>
          <a:xfrm>
            <a:off x="388461" y="545124"/>
            <a:ext cx="2401806" cy="667440"/>
            <a:chOff x="388461" y="545124"/>
            <a:chExt cx="2401806" cy="667440"/>
          </a:xfrm>
        </xdr:grpSpPr>
        <xdr:pic>
          <xdr:nvPicPr>
            <xdr:cNvPr id="12" name="Picture 2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8461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3" name="Picture 3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63528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4" name="Picture 4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38596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5" name="Picture 5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22827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 editAs="oneCell">
    <xdr:from>
      <xdr:col>13</xdr:col>
      <xdr:colOff>1204873</xdr:colOff>
      <xdr:row>1</xdr:row>
      <xdr:rowOff>114351</xdr:rowOff>
    </xdr:from>
    <xdr:to>
      <xdr:col>14</xdr:col>
      <xdr:colOff>287323</xdr:colOff>
      <xdr:row>5</xdr:row>
      <xdr:rowOff>78651</xdr:rowOff>
    </xdr:to>
    <xdr:pic>
      <xdr:nvPicPr>
        <xdr:cNvPr id="8" name="그림 7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9673" y="276276"/>
          <a:ext cx="511200" cy="6120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13</xdr:col>
      <xdr:colOff>563206</xdr:colOff>
      <xdr:row>1</xdr:row>
      <xdr:rowOff>114351</xdr:rowOff>
    </xdr:from>
    <xdr:to>
      <xdr:col>13</xdr:col>
      <xdr:colOff>1073768</xdr:colOff>
      <xdr:row>5</xdr:row>
      <xdr:rowOff>72262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8006" y="276276"/>
          <a:ext cx="510562" cy="605611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114300</xdr:colOff>
      <xdr:row>23</xdr:row>
      <xdr:rowOff>9525</xdr:rowOff>
    </xdr:from>
    <xdr:to>
      <xdr:col>11</xdr:col>
      <xdr:colOff>29444</xdr:colOff>
      <xdr:row>26</xdr:row>
      <xdr:rowOff>33730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3733800"/>
          <a:ext cx="3572744" cy="509980"/>
        </a:xfrm>
        <a:prstGeom prst="rect">
          <a:avLst/>
        </a:prstGeom>
      </xdr:spPr>
    </xdr:pic>
    <xdr:clientData/>
  </xdr:twoCellAnchor>
  <xdr:twoCellAnchor>
    <xdr:from>
      <xdr:col>6</xdr:col>
      <xdr:colOff>9224</xdr:colOff>
      <xdr:row>26</xdr:row>
      <xdr:rowOff>52780</xdr:rowOff>
    </xdr:from>
    <xdr:to>
      <xdr:col>10</xdr:col>
      <xdr:colOff>250524</xdr:colOff>
      <xdr:row>28</xdr:row>
      <xdr:rowOff>98262</xdr:rowOff>
    </xdr:to>
    <xdr:sp macro="" textlink="">
      <xdr:nvSpPr>
        <xdr:cNvPr id="19" name="TextBox 1"/>
        <xdr:cNvSpPr txBox="1"/>
      </xdr:nvSpPr>
      <xdr:spPr>
        <a:xfrm>
          <a:off x="3666824" y="4262830"/>
          <a:ext cx="2679700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ko-KR"/>
          </a:defPPr>
          <a:lvl1pPr marL="0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21499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42998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64498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85996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607495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128996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650494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171995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ko-KR" altLang="en-US" sz="1800" b="1" spc="-100">
              <a:solidFill>
                <a:srgbClr val="323276"/>
              </a:solidFill>
              <a:latin typeface="나눔고딕 ExtraBold" panose="020D0904000000000000" pitchFamily="50" charset="-127"/>
              <a:ea typeface="나눔고딕 ExtraBold" panose="020D0904000000000000" pitchFamily="50" charset="-127"/>
            </a:rPr>
            <a:t>새로운 내일</a:t>
          </a:r>
          <a:r>
            <a:rPr lang="en-US" altLang="ko-KR" sz="1800" b="1" spc="-100">
              <a:solidFill>
                <a:srgbClr val="323276"/>
              </a:solidFill>
              <a:latin typeface="나눔고딕 ExtraBold" panose="020D0904000000000000" pitchFamily="50" charset="-127"/>
              <a:ea typeface="나눔고딕 ExtraBold" panose="020D0904000000000000" pitchFamily="50" charset="-127"/>
            </a:rPr>
            <a:t>, </a:t>
          </a:r>
          <a:r>
            <a:rPr lang="ko-KR" altLang="en-US" sz="1800" b="1" spc="-100">
              <a:solidFill>
                <a:srgbClr val="323276"/>
              </a:solidFill>
              <a:latin typeface="나눔고딕 ExtraBold" panose="020D0904000000000000" pitchFamily="50" charset="-127"/>
              <a:ea typeface="나눔고딕 ExtraBold" panose="020D0904000000000000" pitchFamily="50" charset="-127"/>
            </a:rPr>
            <a:t>더 强한 은행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0.20058</cdr:x>
      <cdr:y>0.24614</cdr:y>
    </cdr:from>
    <cdr:to>
      <cdr:x>0.52102</cdr:x>
      <cdr:y>0.44496</cdr:y>
    </cdr:to>
    <cdr:sp macro="" textlink="">
      <cdr:nvSpPr>
        <cdr:cNvPr id="3276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37" y="183700"/>
          <a:ext cx="546868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0.56089</cdr:x>
      <cdr:y>0.24614</cdr:y>
    </cdr:from>
    <cdr:to>
      <cdr:x>0.86597</cdr:x>
      <cdr:y>0.44496</cdr:y>
    </cdr:to>
    <cdr:sp macro="" textlink="">
      <cdr:nvSpPr>
        <cdr:cNvPr id="3276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9314" y="183700"/>
          <a:ext cx="512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53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5315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73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7363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6277945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6277945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6277945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6277945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5</xdr:col>
      <xdr:colOff>66675</xdr:colOff>
      <xdr:row>0</xdr:row>
      <xdr:rowOff>0</xdr:rowOff>
    </xdr:to>
    <xdr:graphicFrame macro="">
      <xdr:nvGraphicFramePr>
        <xdr:cNvPr id="627794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5</xdr:col>
      <xdr:colOff>371475</xdr:colOff>
      <xdr:row>0</xdr:row>
      <xdr:rowOff>304800</xdr:rowOff>
    </xdr:to>
    <xdr:graphicFrame macro="">
      <xdr:nvGraphicFramePr>
        <xdr:cNvPr id="6277946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104775</xdr:rowOff>
    </xdr:from>
    <xdr:to>
      <xdr:col>0</xdr:col>
      <xdr:colOff>1238250</xdr:colOff>
      <xdr:row>0</xdr:row>
      <xdr:rowOff>304800</xdr:rowOff>
    </xdr:to>
    <xdr:pic>
      <xdr:nvPicPr>
        <xdr:cNvPr id="62779461" name="그림 8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1228725</xdr:colOff>
      <xdr:row>0</xdr:row>
      <xdr:rowOff>314325</xdr:rowOff>
    </xdr:to>
    <xdr:pic>
      <xdr:nvPicPr>
        <xdr:cNvPr id="4916061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1219200</xdr:colOff>
      <xdr:row>0</xdr:row>
      <xdr:rowOff>314325</xdr:rowOff>
    </xdr:to>
    <xdr:pic>
      <xdr:nvPicPr>
        <xdr:cNvPr id="6278656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0</xdr:col>
      <xdr:colOff>1295400</xdr:colOff>
      <xdr:row>0</xdr:row>
      <xdr:rowOff>314325</xdr:rowOff>
    </xdr:to>
    <xdr:pic>
      <xdr:nvPicPr>
        <xdr:cNvPr id="6278759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886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886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1524000</xdr:colOff>
      <xdr:row>0</xdr:row>
      <xdr:rowOff>400050</xdr:rowOff>
    </xdr:to>
    <xdr:pic>
      <xdr:nvPicPr>
        <xdr:cNvPr id="62788637" name="그림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32</xdr:row>
      <xdr:rowOff>0</xdr:rowOff>
    </xdr:from>
    <xdr:to>
      <xdr:col>18</xdr:col>
      <xdr:colOff>180975</xdr:colOff>
      <xdr:row>32</xdr:row>
      <xdr:rowOff>0</xdr:rowOff>
    </xdr:to>
    <xdr:sp macro="" textlink="">
      <xdr:nvSpPr>
        <xdr:cNvPr id="62756936" name="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820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180975</xdr:colOff>
      <xdr:row>31</xdr:row>
      <xdr:rowOff>0</xdr:rowOff>
    </xdr:to>
    <xdr:sp macro="" textlink="">
      <xdr:nvSpPr>
        <xdr:cNvPr id="62756938" name="Rectangle 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6295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30</xdr:row>
      <xdr:rowOff>0</xdr:rowOff>
    </xdr:from>
    <xdr:to>
      <xdr:col>18</xdr:col>
      <xdr:colOff>180975</xdr:colOff>
      <xdr:row>30</xdr:row>
      <xdr:rowOff>0</xdr:rowOff>
    </xdr:to>
    <xdr:sp macro="" textlink="">
      <xdr:nvSpPr>
        <xdr:cNvPr id="62756940" name="Rectangle 6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439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</xdr:col>
      <xdr:colOff>121444</xdr:colOff>
      <xdr:row>24</xdr:row>
      <xdr:rowOff>79373</xdr:rowOff>
    </xdr:from>
    <xdr:to>
      <xdr:col>22</xdr:col>
      <xdr:colOff>207169</xdr:colOff>
      <xdr:row>28</xdr:row>
      <xdr:rowOff>158748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1232694" y="6037790"/>
          <a:ext cx="9769475" cy="1201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900"/>
            </a:lnSpc>
            <a:defRPr sz="1000"/>
          </a:pPr>
          <a:endParaRPr lang="en-US" altLang="ko-KR" sz="900" b="1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900"/>
            </a:lnSpc>
            <a:defRPr sz="1000"/>
          </a:pPr>
          <a:r>
            <a:rPr lang="en-US" altLang="ko-KR" sz="10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Disclaimer</a:t>
          </a:r>
        </a:p>
        <a:p>
          <a:pPr algn="l" rtl="1">
            <a:lnSpc>
              <a:spcPts val="900"/>
            </a:lnSpc>
            <a:defRPr sz="1000"/>
          </a:pPr>
          <a:endParaRPr lang="en-US" altLang="ko-KR" sz="9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700"/>
            </a:lnSpc>
            <a:defRPr sz="1000"/>
          </a:pPr>
          <a:r>
            <a:rPr lang="en-US" altLang="ko-KR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ko-KR" altLang="en-US" sz="1000" b="0" i="1">
              <a:latin typeface="+mn-lt"/>
              <a:ea typeface="+mn-ea"/>
              <a:cs typeface="+mn-cs"/>
            </a:rPr>
            <a:t>본 자료에 포함된 수치 및 내용은 회계감사가 완료되지 않은 잠정예비자료로서 여러분의 편의를 위해 작성되었습니다</a:t>
          </a:r>
          <a:r>
            <a:rPr lang="en-US" sz="1000" b="0" i="1">
              <a:latin typeface="+mn-lt"/>
              <a:ea typeface="+mn-ea"/>
              <a:cs typeface="+mn-cs"/>
            </a:rPr>
            <a:t>. </a:t>
          </a:r>
          <a:r>
            <a:rPr lang="ko-KR" altLang="en-US" sz="1000" b="0" i="1">
              <a:latin typeface="+mn-lt"/>
              <a:ea typeface="+mn-ea"/>
              <a:cs typeface="+mn-cs"/>
            </a:rPr>
            <a:t>본 자료에 포함된 미래 성과나 정보는 예측이나 </a:t>
          </a:r>
          <a:endParaRPr lang="en-US" altLang="ko-KR" sz="1000" b="0" i="1">
            <a:latin typeface="+mn-lt"/>
            <a:ea typeface="+mn-ea"/>
            <a:cs typeface="+mn-cs"/>
          </a:endParaRPr>
        </a:p>
        <a:p>
          <a:pPr algn="l" rtl="1">
            <a:lnSpc>
              <a:spcPts val="1700"/>
            </a:lnSpc>
            <a:defRPr sz="1000"/>
          </a:pPr>
          <a:r>
            <a:rPr lang="en-US" altLang="ko-KR" sz="1000" b="0" i="1">
              <a:latin typeface="+mn-lt"/>
              <a:ea typeface="+mn-ea"/>
              <a:cs typeface="+mn-cs"/>
            </a:rPr>
            <a:t>  </a:t>
          </a:r>
          <a:r>
            <a:rPr lang="ko-KR" altLang="en-US" sz="1000" b="0" i="1">
              <a:latin typeface="+mn-lt"/>
              <a:ea typeface="+mn-ea"/>
              <a:cs typeface="+mn-cs"/>
            </a:rPr>
            <a:t>전망일 뿐으로 실제 결과와 다를 수 있습니다</a:t>
          </a:r>
          <a:r>
            <a:rPr lang="en-US" altLang="ko-KR" sz="1000" b="0" i="1">
              <a:latin typeface="+mn-lt"/>
              <a:ea typeface="+mn-ea"/>
              <a:cs typeface="+mn-cs"/>
            </a:rPr>
            <a:t>. </a:t>
          </a:r>
          <a:r>
            <a:rPr lang="ko-KR" altLang="en-US" sz="1000" b="0" i="1">
              <a:latin typeface="+mn-lt"/>
              <a:ea typeface="+mn-ea"/>
              <a:cs typeface="+mn-cs"/>
            </a:rPr>
            <a:t>그러므로 최종적으로 회계감사를 마친 자료와는 중대한 차이가 있을 수 있고  별도 공지 없이 추후 달라질 수 있음을 양지</a:t>
          </a:r>
          <a:endParaRPr lang="en-US" altLang="ko-KR" sz="1000" b="0" i="1">
            <a:latin typeface="+mn-lt"/>
            <a:ea typeface="+mn-ea"/>
            <a:cs typeface="+mn-cs"/>
          </a:endParaRPr>
        </a:p>
        <a:p>
          <a:pPr algn="l" rtl="1">
            <a:lnSpc>
              <a:spcPts val="1700"/>
            </a:lnSpc>
            <a:defRPr sz="1000"/>
          </a:pPr>
          <a:r>
            <a:rPr lang="en-US" altLang="ko-KR" sz="1000" b="0" i="1">
              <a:latin typeface="+mn-lt"/>
              <a:ea typeface="+mn-ea"/>
              <a:cs typeface="+mn-cs"/>
            </a:rPr>
            <a:t>  </a:t>
          </a:r>
          <a:r>
            <a:rPr lang="ko-KR" altLang="en-US" sz="1000" b="0" i="1">
              <a:latin typeface="+mn-lt"/>
              <a:ea typeface="+mn-ea"/>
              <a:cs typeface="+mn-cs"/>
            </a:rPr>
            <a:t>하시기  바랍니다</a:t>
          </a:r>
          <a:r>
            <a:rPr lang="en-US" sz="1000" b="0" i="1">
              <a:latin typeface="+mn-lt"/>
              <a:ea typeface="+mn-ea"/>
              <a:cs typeface="+mn-cs"/>
            </a:rPr>
            <a:t>. </a:t>
          </a:r>
          <a:r>
            <a:rPr lang="ko-KR" altLang="en-US" sz="1000" b="0" i="1">
              <a:latin typeface="+mn-lt"/>
              <a:ea typeface="+mn-ea"/>
              <a:cs typeface="+mn-cs"/>
            </a:rPr>
            <a:t>또한 이 정보의 제공으로 인해 발생되는 어떠한 손실에도 회사는 책임이 없음을 알려드립니다</a:t>
          </a:r>
          <a:r>
            <a:rPr lang="en-US" sz="1000" b="0" i="1">
              <a:latin typeface="+mn-lt"/>
              <a:ea typeface="+mn-ea"/>
              <a:cs typeface="+mn-cs"/>
            </a:rPr>
            <a:t>. </a:t>
          </a:r>
          <a:r>
            <a:rPr lang="en-US" altLang="ko-KR" sz="900" b="0" i="0" strike="noStrike">
              <a:solidFill>
                <a:srgbClr val="FF0000"/>
              </a:solidFill>
              <a:latin typeface="Times New Roman"/>
              <a:cs typeface="Times New Roman"/>
            </a:rPr>
            <a:t>   </a:t>
          </a: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6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5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114300</xdr:colOff>
      <xdr:row>25</xdr:row>
      <xdr:rowOff>257175</xdr:rowOff>
    </xdr:from>
    <xdr:to>
      <xdr:col>0</xdr:col>
      <xdr:colOff>1019175</xdr:colOff>
      <xdr:row>28</xdr:row>
      <xdr:rowOff>219075</xdr:rowOff>
    </xdr:to>
    <xdr:pic>
      <xdr:nvPicPr>
        <xdr:cNvPr id="62756943" name="그림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457950"/>
          <a:ext cx="9048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3" name="Rectangle 24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917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17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917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1285875</xdr:colOff>
      <xdr:row>0</xdr:row>
      <xdr:rowOff>352425</xdr:rowOff>
    </xdr:to>
    <xdr:pic>
      <xdr:nvPicPr>
        <xdr:cNvPr id="62791739" name="그림 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200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0.19437</cdr:x>
      <cdr:y>0.24614</cdr:y>
    </cdr:from>
    <cdr:to>
      <cdr:x>0.50543</cdr:x>
      <cdr:y>0.44496</cdr:y>
    </cdr:to>
    <cdr:sp macro="" textlink="">
      <cdr:nvSpPr>
        <cdr:cNvPr id="293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279" y="183700"/>
          <a:ext cx="53627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0.57652</cdr:x>
      <cdr:y>0.24614</cdr:y>
    </cdr:from>
    <cdr:to>
      <cdr:x>0.87011</cdr:x>
      <cdr:y>0.44496</cdr:y>
    </cdr:to>
    <cdr:sp macro="" textlink="">
      <cdr:nvSpPr>
        <cdr:cNvPr id="2938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7118" y="183700"/>
          <a:ext cx="506142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1076325</xdr:colOff>
      <xdr:row>0</xdr:row>
      <xdr:rowOff>0</xdr:rowOff>
    </xdr:to>
    <xdr:graphicFrame macro="">
      <xdr:nvGraphicFramePr>
        <xdr:cNvPr id="627958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58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0</xdr:col>
      <xdr:colOff>304800</xdr:colOff>
      <xdr:row>1</xdr:row>
      <xdr:rowOff>57150</xdr:rowOff>
    </xdr:to>
    <xdr:graphicFrame macro="">
      <xdr:nvGraphicFramePr>
        <xdr:cNvPr id="627958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200025</xdr:rowOff>
    </xdr:from>
    <xdr:to>
      <xdr:col>0</xdr:col>
      <xdr:colOff>1266825</xdr:colOff>
      <xdr:row>0</xdr:row>
      <xdr:rowOff>400050</xdr:rowOff>
    </xdr:to>
    <xdr:pic>
      <xdr:nvPicPr>
        <xdr:cNvPr id="62795815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0.22953</cdr:x>
      <cdr:y>0.20307</cdr:y>
    </cdr:from>
    <cdr:to>
      <cdr:x>0.57646</cdr:x>
      <cdr:y>0.35491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616" y="152110"/>
          <a:ext cx="380143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0.63597</cdr:x>
      <cdr:y>0.20307</cdr:y>
    </cdr:from>
    <cdr:to>
      <cdr:x>0.87065</cdr:x>
      <cdr:y>0.35491</cdr:y>
    </cdr:to>
    <cdr:sp macro="" textlink="">
      <cdr:nvSpPr>
        <cdr:cNvPr id="524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0138" y="152110"/>
          <a:ext cx="253099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0</xdr:col>
      <xdr:colOff>1466850</xdr:colOff>
      <xdr:row>0</xdr:row>
      <xdr:rowOff>342900</xdr:rowOff>
    </xdr:to>
    <xdr:pic>
      <xdr:nvPicPr>
        <xdr:cNvPr id="62757897" name="그림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1152525</xdr:colOff>
      <xdr:row>0</xdr:row>
      <xdr:rowOff>342900</xdr:rowOff>
    </xdr:to>
    <xdr:pic>
      <xdr:nvPicPr>
        <xdr:cNvPr id="62799881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2800941" name="Chart 8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2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2</xdr:col>
      <xdr:colOff>523875</xdr:colOff>
      <xdr:row>0</xdr:row>
      <xdr:rowOff>152400</xdr:rowOff>
    </xdr:to>
    <xdr:graphicFrame macro="">
      <xdr:nvGraphicFramePr>
        <xdr:cNvPr id="6280094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152400</xdr:rowOff>
    </xdr:from>
    <xdr:to>
      <xdr:col>0</xdr:col>
      <xdr:colOff>1104900</xdr:colOff>
      <xdr:row>0</xdr:row>
      <xdr:rowOff>333375</xdr:rowOff>
    </xdr:to>
    <xdr:pic>
      <xdr:nvPicPr>
        <xdr:cNvPr id="62800945" name="그림 6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04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0</xdr:colOff>
      <xdr:row>0</xdr:row>
      <xdr:rowOff>333375</xdr:rowOff>
    </xdr:to>
    <xdr:pic>
      <xdr:nvPicPr>
        <xdr:cNvPr id="62806025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247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0</xdr:col>
      <xdr:colOff>1209675</xdr:colOff>
      <xdr:row>0</xdr:row>
      <xdr:rowOff>323850</xdr:rowOff>
    </xdr:to>
    <xdr:pic>
      <xdr:nvPicPr>
        <xdr:cNvPr id="6280704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35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142875</xdr:rowOff>
    </xdr:from>
    <xdr:to>
      <xdr:col>0</xdr:col>
      <xdr:colOff>1200150</xdr:colOff>
      <xdr:row>0</xdr:row>
      <xdr:rowOff>333375</xdr:rowOff>
    </xdr:to>
    <xdr:pic>
      <xdr:nvPicPr>
        <xdr:cNvPr id="6280807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2875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627589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104775</xdr:rowOff>
    </xdr:from>
    <xdr:to>
      <xdr:col>0</xdr:col>
      <xdr:colOff>1485900</xdr:colOff>
      <xdr:row>0</xdr:row>
      <xdr:rowOff>342900</xdr:rowOff>
    </xdr:to>
    <xdr:pic>
      <xdr:nvPicPr>
        <xdr:cNvPr id="62758931" name="그림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0.20677</cdr:x>
      <cdr:y>0.2035</cdr:y>
    </cdr:from>
    <cdr:to>
      <cdr:x>0.47846</cdr:x>
      <cdr:y>0.35708</cdr:y>
    </cdr:to>
    <cdr:sp macro="" textlink="">
      <cdr:nvSpPr>
        <cdr:cNvPr id="1420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823" y="152429"/>
          <a:ext cx="199270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0.56004</cdr:x>
      <cdr:y>0.2035</cdr:y>
    </cdr:from>
    <cdr:to>
      <cdr:x>0.83761</cdr:x>
      <cdr:y>0.35708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922" y="152429"/>
          <a:ext cx="203577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0</xdr:col>
      <xdr:colOff>1228725</xdr:colOff>
      <xdr:row>0</xdr:row>
      <xdr:rowOff>371475</xdr:rowOff>
    </xdr:to>
    <xdr:pic>
      <xdr:nvPicPr>
        <xdr:cNvPr id="2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0</xdr:colOff>
      <xdr:row>0</xdr:row>
      <xdr:rowOff>314325</xdr:rowOff>
    </xdr:to>
    <xdr:pic>
      <xdr:nvPicPr>
        <xdr:cNvPr id="62760969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1228725</xdr:colOff>
      <xdr:row>0</xdr:row>
      <xdr:rowOff>0</xdr:rowOff>
    </xdr:to>
    <xdr:graphicFrame macro="">
      <xdr:nvGraphicFramePr>
        <xdr:cNvPr id="6276206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1</xdr:col>
      <xdr:colOff>247650</xdr:colOff>
      <xdr:row>1</xdr:row>
      <xdr:rowOff>57150</xdr:rowOff>
    </xdr:to>
    <xdr:graphicFrame macro="">
      <xdr:nvGraphicFramePr>
        <xdr:cNvPr id="6276207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1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2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62073" name="그림 10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712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12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712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161925</xdr:rowOff>
    </xdr:from>
    <xdr:to>
      <xdr:col>0</xdr:col>
      <xdr:colOff>1343025</xdr:colOff>
      <xdr:row>0</xdr:row>
      <xdr:rowOff>381000</xdr:rowOff>
    </xdr:to>
    <xdr:pic>
      <xdr:nvPicPr>
        <xdr:cNvPr id="62771239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304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4:O48"/>
  <sheetViews>
    <sheetView showGridLines="0" view="pageBreakPreview" zoomScaleNormal="100" zoomScaleSheetLayoutView="100" workbookViewId="0">
      <selection sqref="A1:XFD1048576"/>
    </sheetView>
  </sheetViews>
  <sheetFormatPr defaultRowHeight="12.75"/>
  <cols>
    <col min="1" max="13" width="9.140625" style="1"/>
    <col min="14" max="14" width="21.42578125" style="1" customWidth="1"/>
    <col min="15" max="15" width="8.7109375" style="1" customWidth="1"/>
    <col min="16" max="16" width="10.7109375" style="1" bestFit="1" customWidth="1"/>
    <col min="17" max="17" width="11.85546875" style="1" customWidth="1"/>
    <col min="18" max="16384" width="9.140625" style="1"/>
  </cols>
  <sheetData>
    <row r="44" spans="1:15" ht="30.75" customHeight="1"/>
    <row r="48" spans="1:15">
      <c r="A48" s="1277"/>
      <c r="B48" s="1277"/>
      <c r="C48" s="1277"/>
      <c r="D48" s="1277"/>
      <c r="E48" s="1277"/>
      <c r="F48" s="1277"/>
      <c r="G48" s="1277"/>
      <c r="H48" s="1277"/>
      <c r="I48" s="1277"/>
      <c r="J48" s="1277"/>
      <c r="K48" s="1277"/>
      <c r="L48" s="1277"/>
      <c r="M48" s="1277"/>
      <c r="N48" s="1277"/>
      <c r="O48" s="1277"/>
    </row>
  </sheetData>
  <mergeCells count="1">
    <mergeCell ref="A48:O48"/>
  </mergeCells>
  <phoneticPr fontId="2" type="noConversion"/>
  <printOptions horizontalCentered="1" verticalCentered="1"/>
  <pageMargins left="0.23622047244094491" right="0.23622047244094491" top="0.19685039370078741" bottom="0.19685039370078741" header="0.15748031496062992" footer="0.15748031496062992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showGridLines="0" view="pageBreakPreview" zoomScale="91" zoomScaleNormal="100" zoomScaleSheetLayoutView="91" workbookViewId="0">
      <selection activeCell="D24" sqref="D24"/>
    </sheetView>
  </sheetViews>
  <sheetFormatPr defaultRowHeight="11.25"/>
  <cols>
    <col min="1" max="1" width="19.140625" style="143" customWidth="1"/>
    <col min="2" max="2" width="5.28515625" style="143" customWidth="1"/>
    <col min="3" max="3" width="18.7109375" style="143" customWidth="1"/>
    <col min="4" max="4" width="8.28515625" style="217" customWidth="1"/>
    <col min="5" max="5" width="2.7109375" style="217" customWidth="1"/>
    <col min="6" max="6" width="8.28515625" style="217" customWidth="1"/>
    <col min="7" max="7" width="6.5703125" style="143" customWidth="1"/>
    <col min="8" max="8" width="18.7109375" style="143" customWidth="1"/>
    <col min="9" max="9" width="8.28515625" style="217" customWidth="1"/>
    <col min="10" max="10" width="2.7109375" style="217" customWidth="1"/>
    <col min="11" max="11" width="8.28515625" style="217" customWidth="1"/>
    <col min="12" max="12" width="6.140625" style="143" customWidth="1"/>
    <col min="13" max="13" width="18.7109375" style="143" customWidth="1"/>
    <col min="14" max="14" width="8.28515625" style="217" customWidth="1"/>
    <col min="15" max="15" width="2.7109375" style="217" customWidth="1"/>
    <col min="16" max="16" width="8.28515625" style="217" customWidth="1"/>
    <col min="17" max="16384" width="9.140625" style="143"/>
  </cols>
  <sheetData>
    <row r="1" spans="1:17" s="119" customFormat="1" ht="30" customHeight="1">
      <c r="A1" s="826"/>
      <c r="B1" s="232"/>
      <c r="C1" s="629" t="s">
        <v>138</v>
      </c>
      <c r="D1" s="233"/>
      <c r="E1" s="233"/>
      <c r="F1" s="233"/>
      <c r="G1" s="138"/>
      <c r="H1" s="138"/>
      <c r="I1" s="234"/>
      <c r="J1" s="234"/>
      <c r="K1" s="234"/>
      <c r="L1" s="138"/>
      <c r="M1" s="138"/>
      <c r="N1" s="234"/>
      <c r="O1" s="234"/>
      <c r="P1" s="234"/>
    </row>
    <row r="2" spans="1:17" s="119" customFormat="1">
      <c r="A2" s="216"/>
      <c r="B2" s="122"/>
      <c r="C2" s="122"/>
      <c r="D2" s="217"/>
      <c r="E2" s="215"/>
      <c r="F2" s="215"/>
      <c r="I2" s="215"/>
      <c r="J2" s="215"/>
      <c r="K2" s="215"/>
      <c r="N2" s="215"/>
      <c r="O2" s="215"/>
      <c r="P2" s="215"/>
    </row>
    <row r="3" spans="1:17" s="119" customFormat="1">
      <c r="A3" s="216"/>
      <c r="B3" s="122"/>
      <c r="C3" s="122"/>
      <c r="D3" s="217"/>
      <c r="E3" s="215"/>
      <c r="F3" s="215"/>
      <c r="I3" s="215"/>
      <c r="J3" s="215"/>
      <c r="K3" s="215"/>
      <c r="N3" s="215"/>
      <c r="O3" s="215"/>
      <c r="P3" s="215"/>
    </row>
    <row r="4" spans="1:17" ht="16.5" customHeight="1">
      <c r="A4" s="142"/>
      <c r="C4" s="22" t="s">
        <v>412</v>
      </c>
    </row>
    <row r="5" spans="1:17" ht="16.5" customHeight="1">
      <c r="A5" s="235"/>
    </row>
    <row r="6" spans="1:17" ht="16.5" customHeight="1">
      <c r="A6" s="236"/>
      <c r="C6" s="494" t="s">
        <v>139</v>
      </c>
      <c r="D6" s="238"/>
      <c r="E6" s="238"/>
      <c r="F6" s="238"/>
      <c r="G6" s="239"/>
      <c r="H6" s="495" t="s">
        <v>117</v>
      </c>
      <c r="I6" s="238"/>
      <c r="J6" s="238"/>
      <c r="K6" s="238"/>
      <c r="L6" s="237"/>
      <c r="M6" s="495" t="s">
        <v>118</v>
      </c>
      <c r="N6" s="224"/>
      <c r="O6" s="224"/>
      <c r="P6" s="224"/>
    </row>
    <row r="7" spans="1:17" ht="16.5" customHeight="1">
      <c r="A7" s="236"/>
      <c r="C7" s="447"/>
      <c r="D7" s="238"/>
      <c r="E7" s="238"/>
      <c r="F7" s="238"/>
      <c r="G7" s="239"/>
      <c r="H7" s="239"/>
      <c r="I7" s="238"/>
      <c r="J7" s="238"/>
      <c r="K7" s="238"/>
      <c r="L7" s="237"/>
      <c r="M7" s="239"/>
      <c r="N7" s="224"/>
      <c r="O7" s="224"/>
      <c r="P7" s="224"/>
    </row>
    <row r="8" spans="1:17" ht="16.5" customHeight="1">
      <c r="A8" s="142"/>
      <c r="C8" s="144" t="s">
        <v>119</v>
      </c>
      <c r="D8" s="1323" t="s">
        <v>521</v>
      </c>
      <c r="E8" s="1323"/>
      <c r="F8" s="1323"/>
      <c r="G8" s="119"/>
      <c r="H8" s="144" t="s">
        <v>126</v>
      </c>
      <c r="I8" s="1323" t="str">
        <f>D8</f>
        <v>1Q17</v>
      </c>
      <c r="J8" s="1323"/>
      <c r="K8" s="1323"/>
      <c r="L8" s="122"/>
      <c r="M8" s="144" t="s">
        <v>126</v>
      </c>
      <c r="N8" s="1322" t="str">
        <f>D8</f>
        <v>1Q17</v>
      </c>
      <c r="O8" s="1322"/>
      <c r="P8" s="1322"/>
    </row>
    <row r="9" spans="1:17" ht="16.5" customHeight="1">
      <c r="A9" s="240"/>
      <c r="C9" s="695" t="s">
        <v>120</v>
      </c>
      <c r="D9" s="1043">
        <f>SUM(D10:D16)-D12-D13</f>
        <v>103376.39999999998</v>
      </c>
      <c r="E9" s="949"/>
      <c r="F9" s="1045">
        <f>D9/$D$9</f>
        <v>1</v>
      </c>
      <c r="G9" s="387"/>
      <c r="H9" s="695" t="s">
        <v>127</v>
      </c>
      <c r="I9" s="604">
        <f>SUM(I10:I12)</f>
        <v>103376.40000000001</v>
      </c>
      <c r="J9" s="388"/>
      <c r="K9" s="1045">
        <f>I9/$I$9</f>
        <v>1</v>
      </c>
      <c r="L9" s="387"/>
      <c r="M9" s="695" t="s">
        <v>127</v>
      </c>
      <c r="N9" s="604">
        <f>SUM(N10:N16)</f>
        <v>72180.200000000012</v>
      </c>
      <c r="O9" s="600"/>
      <c r="P9" s="1045">
        <f>N9/$N$9</f>
        <v>1</v>
      </c>
      <c r="Q9" s="217"/>
    </row>
    <row r="10" spans="1:17" ht="16.5" customHeight="1">
      <c r="A10" s="240"/>
      <c r="C10" s="688" t="s">
        <v>121</v>
      </c>
      <c r="D10" s="1137">
        <v>7.3</v>
      </c>
      <c r="E10" s="949"/>
      <c r="F10" s="601">
        <f t="shared" ref="F10:F16" si="0">ROUND(D10,0)/ROUND($D$9,0)</f>
        <v>6.7713976164680386E-5</v>
      </c>
      <c r="G10" s="387"/>
      <c r="H10" s="688" t="s">
        <v>128</v>
      </c>
      <c r="I10" s="797">
        <v>72180.100000000006</v>
      </c>
      <c r="J10" s="390"/>
      <c r="K10" s="601">
        <f>I10/$I$9</f>
        <v>0.69822609415688686</v>
      </c>
      <c r="L10" s="387"/>
      <c r="M10" s="688" t="s">
        <v>131</v>
      </c>
      <c r="N10" s="797">
        <v>55618</v>
      </c>
      <c r="O10" s="600"/>
      <c r="P10" s="601">
        <f>ROUND(N10,0)/ROUND($N$9,0)</f>
        <v>0.77054585757827654</v>
      </c>
      <c r="Q10" s="241"/>
    </row>
    <row r="11" spans="1:17" ht="16.5" customHeight="1">
      <c r="A11" s="240"/>
      <c r="C11" s="688" t="s">
        <v>122</v>
      </c>
      <c r="D11" s="1137">
        <v>56843.3</v>
      </c>
      <c r="E11" s="949"/>
      <c r="F11" s="601">
        <f t="shared" si="0"/>
        <v>0.54986650673270387</v>
      </c>
      <c r="G11" s="387"/>
      <c r="H11" s="688" t="s">
        <v>129</v>
      </c>
      <c r="I11" s="797">
        <v>19332.2</v>
      </c>
      <c r="J11" s="390"/>
      <c r="K11" s="601">
        <f>I11/$I$9</f>
        <v>0.18700786639890729</v>
      </c>
      <c r="L11" s="387"/>
      <c r="M11" s="688" t="s">
        <v>132</v>
      </c>
      <c r="N11" s="797">
        <v>815.3</v>
      </c>
      <c r="O11" s="600"/>
      <c r="P11" s="601">
        <f>ROUND(N11,0)/ROUND($N$9,0)</f>
        <v>1.1291216403435856E-2</v>
      </c>
      <c r="Q11" s="241"/>
    </row>
    <row r="12" spans="1:17" ht="16.5" customHeight="1">
      <c r="A12" s="240"/>
      <c r="C12" s="696" t="s">
        <v>361</v>
      </c>
      <c r="D12" s="1137">
        <v>4154.6000000000004</v>
      </c>
      <c r="E12" s="949"/>
      <c r="F12" s="601">
        <f t="shared" si="0"/>
        <v>4.0193081566321003E-2</v>
      </c>
      <c r="G12" s="387"/>
      <c r="H12" s="688" t="s">
        <v>130</v>
      </c>
      <c r="I12" s="797">
        <v>11864.1</v>
      </c>
      <c r="J12" s="390"/>
      <c r="K12" s="601">
        <f>I12/$I$9</f>
        <v>0.11476603944420583</v>
      </c>
      <c r="L12" s="387"/>
      <c r="M12" s="688" t="s">
        <v>133</v>
      </c>
      <c r="N12" s="797">
        <v>4.9000000000000004</v>
      </c>
      <c r="O12" s="390"/>
      <c r="P12" s="601">
        <f>ROUND(N12,0)/ROUND($N$9,0)</f>
        <v>6.9271266278747581E-5</v>
      </c>
      <c r="Q12" s="241"/>
    </row>
    <row r="13" spans="1:17" ht="16.5" customHeight="1">
      <c r="A13" s="240"/>
      <c r="C13" s="696" t="s">
        <v>362</v>
      </c>
      <c r="D13" s="1137">
        <v>50859.3</v>
      </c>
      <c r="E13" s="949"/>
      <c r="F13" s="601">
        <f t="shared" si="0"/>
        <v>0.49198073053706859</v>
      </c>
      <c r="G13" s="387"/>
      <c r="H13" s="696"/>
      <c r="I13" s="612"/>
      <c r="J13" s="612"/>
      <c r="K13" s="600"/>
      <c r="L13" s="387"/>
      <c r="M13" s="688" t="s">
        <v>134</v>
      </c>
      <c r="N13" s="797">
        <v>15742</v>
      </c>
      <c r="O13" s="1044"/>
      <c r="P13" s="601">
        <f>ROUND(N13,0)/ROUND($N$9,0)</f>
        <v>0.21809365475200887</v>
      </c>
      <c r="Q13" s="241"/>
    </row>
    <row r="14" spans="1:17" ht="16.5" customHeight="1">
      <c r="A14" s="240"/>
      <c r="C14" s="688" t="s">
        <v>123</v>
      </c>
      <c r="D14" s="1137">
        <v>309.8</v>
      </c>
      <c r="E14" s="949"/>
      <c r="F14" s="601">
        <f t="shared" si="0"/>
        <v>2.9987618015787031E-3</v>
      </c>
      <c r="G14" s="387"/>
      <c r="H14" s="703"/>
      <c r="I14" s="612"/>
      <c r="J14" s="612"/>
      <c r="K14" s="601"/>
      <c r="L14" s="614"/>
      <c r="M14" s="698"/>
      <c r="N14" s="606"/>
      <c r="O14" s="607"/>
      <c r="P14" s="610"/>
      <c r="Q14" s="241"/>
    </row>
    <row r="15" spans="1:17" ht="16.5" customHeight="1">
      <c r="A15" s="240"/>
      <c r="C15" s="701" t="s">
        <v>124</v>
      </c>
      <c r="D15" s="1194">
        <v>43739.199999999997</v>
      </c>
      <c r="E15" s="954"/>
      <c r="F15" s="601">
        <f t="shared" si="0"/>
        <v>0.42310594335242224</v>
      </c>
      <c r="G15" s="387"/>
      <c r="H15" s="704"/>
      <c r="I15" s="616"/>
      <c r="J15" s="616"/>
      <c r="K15" s="617"/>
      <c r="L15" s="614"/>
      <c r="M15" s="705"/>
      <c r="N15" s="615"/>
      <c r="O15" s="618"/>
      <c r="P15" s="619"/>
      <c r="Q15" s="242"/>
    </row>
    <row r="16" spans="1:17" ht="16.5" customHeight="1" thickBot="1">
      <c r="A16" s="243"/>
      <c r="C16" s="702" t="s">
        <v>363</v>
      </c>
      <c r="D16" s="1188">
        <v>2476.8000000000002</v>
      </c>
      <c r="E16" s="955"/>
      <c r="F16" s="617">
        <f t="shared" si="0"/>
        <v>2.3961074137130476E-2</v>
      </c>
      <c r="G16" s="387"/>
      <c r="H16" s="702"/>
      <c r="I16" s="620"/>
      <c r="J16" s="620"/>
      <c r="K16" s="602"/>
      <c r="L16" s="387"/>
      <c r="M16" s="697"/>
      <c r="N16" s="392"/>
      <c r="O16" s="621"/>
      <c r="P16" s="622"/>
    </row>
    <row r="17" spans="1:17" ht="16.5" customHeight="1">
      <c r="A17" s="142"/>
      <c r="D17" s="143"/>
      <c r="E17" s="143"/>
      <c r="F17" s="244"/>
      <c r="I17" s="143"/>
      <c r="J17" s="143"/>
      <c r="K17" s="154"/>
      <c r="M17" s="706"/>
      <c r="N17" s="143"/>
      <c r="O17" s="143"/>
      <c r="P17" s="154"/>
    </row>
    <row r="18" spans="1:17" ht="16.5" customHeight="1">
      <c r="A18" s="142"/>
    </row>
    <row r="19" spans="1:17" ht="16.5" customHeight="1">
      <c r="A19" s="142"/>
      <c r="C19" s="22" t="s">
        <v>413</v>
      </c>
      <c r="D19" s="221"/>
      <c r="E19" s="221"/>
      <c r="F19" s="221"/>
      <c r="G19" s="137"/>
      <c r="H19" s="137"/>
      <c r="I19" s="221"/>
      <c r="J19" s="221"/>
      <c r="K19" s="221"/>
      <c r="L19" s="137"/>
      <c r="M19" s="137"/>
      <c r="N19" s="221"/>
      <c r="O19" s="221"/>
      <c r="P19" s="221"/>
    </row>
    <row r="20" spans="1:17" ht="16.5" customHeight="1">
      <c r="A20" s="142"/>
      <c r="H20" s="137"/>
      <c r="I20" s="222"/>
      <c r="J20" s="222"/>
      <c r="K20" s="221"/>
      <c r="L20" s="137"/>
      <c r="M20" s="245"/>
      <c r="N20" s="224"/>
      <c r="O20" s="224"/>
      <c r="P20" s="225"/>
    </row>
    <row r="21" spans="1:17" ht="16.5" customHeight="1">
      <c r="A21" s="142"/>
      <c r="C21" s="494" t="s">
        <v>139</v>
      </c>
      <c r="D21" s="238"/>
      <c r="E21" s="238"/>
      <c r="F21" s="238"/>
      <c r="G21" s="239"/>
      <c r="H21" s="495" t="s">
        <v>117</v>
      </c>
      <c r="I21" s="238"/>
      <c r="J21" s="238"/>
      <c r="K21" s="238"/>
      <c r="L21" s="237"/>
      <c r="M21" s="495" t="s">
        <v>118</v>
      </c>
      <c r="N21" s="220"/>
    </row>
    <row r="22" spans="1:17" ht="16.5" customHeight="1">
      <c r="A22" s="142"/>
      <c r="C22" s="447"/>
      <c r="D22" s="238"/>
      <c r="E22" s="238"/>
      <c r="F22" s="238"/>
      <c r="G22" s="239"/>
      <c r="H22" s="239"/>
      <c r="I22" s="238"/>
      <c r="J22" s="238"/>
      <c r="K22" s="238"/>
      <c r="L22" s="237"/>
      <c r="M22" s="239"/>
      <c r="N22" s="220"/>
    </row>
    <row r="23" spans="1:17" ht="16.5" customHeight="1">
      <c r="A23" s="142"/>
      <c r="C23" s="144" t="s">
        <v>119</v>
      </c>
      <c r="D23" s="1322" t="str">
        <f>D8</f>
        <v>1Q17</v>
      </c>
      <c r="E23" s="1322"/>
      <c r="F23" s="1322"/>
      <c r="G23" s="246"/>
      <c r="H23" s="144" t="s">
        <v>126</v>
      </c>
      <c r="I23" s="1322" t="str">
        <f>D8</f>
        <v>1Q17</v>
      </c>
      <c r="J23" s="1322"/>
      <c r="K23" s="1322"/>
      <c r="L23" s="137"/>
      <c r="M23" s="144" t="s">
        <v>126</v>
      </c>
      <c r="N23" s="1322" t="str">
        <f>D8</f>
        <v>1Q17</v>
      </c>
      <c r="O23" s="1322"/>
      <c r="P23" s="1322"/>
    </row>
    <row r="24" spans="1:17" ht="16.5" customHeight="1">
      <c r="A24" s="142"/>
      <c r="C24" s="695" t="s">
        <v>120</v>
      </c>
      <c r="D24" s="1046">
        <f>SUM(D25:D31)-D27</f>
        <v>2925.5000000000005</v>
      </c>
      <c r="E24" s="600"/>
      <c r="F24" s="1045">
        <f>D24/$D$24</f>
        <v>1</v>
      </c>
      <c r="G24" s="387"/>
      <c r="H24" s="695" t="s">
        <v>127</v>
      </c>
      <c r="I24" s="604">
        <f>SUM(I25:I27)</f>
        <v>2925.5</v>
      </c>
      <c r="J24" s="388"/>
      <c r="K24" s="1045">
        <f>I24/$I$24</f>
        <v>1</v>
      </c>
      <c r="L24" s="387"/>
      <c r="M24" s="695" t="s">
        <v>127</v>
      </c>
      <c r="N24" s="604">
        <f>SUM(N25:N28)</f>
        <v>1398.6</v>
      </c>
      <c r="O24" s="600"/>
      <c r="P24" s="1045">
        <f>N24/$N$24</f>
        <v>1</v>
      </c>
      <c r="Q24" s="217"/>
    </row>
    <row r="25" spans="1:17" ht="16.5" customHeight="1">
      <c r="A25" s="142"/>
      <c r="C25" s="688" t="s">
        <v>121</v>
      </c>
      <c r="D25" s="1192">
        <v>0</v>
      </c>
      <c r="E25" s="390"/>
      <c r="F25" s="601">
        <f t="shared" ref="F25:F30" si="1">ROUND(D25,0)/ROUND($D$24,0)</f>
        <v>0</v>
      </c>
      <c r="G25" s="387"/>
      <c r="H25" s="688" t="s">
        <v>128</v>
      </c>
      <c r="I25" s="797">
        <v>1398.6</v>
      </c>
      <c r="J25" s="390"/>
      <c r="K25" s="601">
        <f>I25/$I$24</f>
        <v>0.47807212442317548</v>
      </c>
      <c r="L25" s="387"/>
      <c r="M25" s="688" t="s">
        <v>131</v>
      </c>
      <c r="N25" s="797">
        <v>606.20000000000005</v>
      </c>
      <c r="O25" s="600"/>
      <c r="P25" s="601">
        <f>ROUND(N25,0)/ROUND($N$24,0)</f>
        <v>0.43316654753395284</v>
      </c>
      <c r="Q25" s="217"/>
    </row>
    <row r="26" spans="1:17" ht="16.5" customHeight="1">
      <c r="A26" s="142"/>
      <c r="C26" s="688" t="s">
        <v>122</v>
      </c>
      <c r="D26" s="1192">
        <v>2092.1</v>
      </c>
      <c r="E26" s="390"/>
      <c r="F26" s="601">
        <f t="shared" si="1"/>
        <v>0.71496924128503081</v>
      </c>
      <c r="G26" s="387"/>
      <c r="H26" s="688" t="s">
        <v>129</v>
      </c>
      <c r="I26" s="797">
        <v>1439.6</v>
      </c>
      <c r="J26" s="390"/>
      <c r="K26" s="601">
        <f>I26/$I$24</f>
        <v>0.49208682276533922</v>
      </c>
      <c r="L26" s="387"/>
      <c r="M26" s="688" t="s">
        <v>132</v>
      </c>
      <c r="N26" s="797">
        <v>8</v>
      </c>
      <c r="O26" s="600"/>
      <c r="P26" s="601">
        <f>ROUND(N26,0)/ROUND($N$24,0)</f>
        <v>5.7183702644746249E-3</v>
      </c>
      <c r="Q26" s="217"/>
    </row>
    <row r="27" spans="1:17" ht="16.5" customHeight="1">
      <c r="A27" s="142"/>
      <c r="C27" s="696" t="s">
        <v>360</v>
      </c>
      <c r="D27" s="1192">
        <v>1599.4</v>
      </c>
      <c r="E27" s="390"/>
      <c r="F27" s="601">
        <f t="shared" si="1"/>
        <v>0.54647983595352012</v>
      </c>
      <c r="G27" s="387"/>
      <c r="H27" s="688" t="s">
        <v>130</v>
      </c>
      <c r="I27" s="797">
        <v>87.3</v>
      </c>
      <c r="J27" s="390"/>
      <c r="K27" s="601">
        <f>I27/$I$24</f>
        <v>2.9841052811485216E-2</v>
      </c>
      <c r="L27" s="387"/>
      <c r="M27" s="688" t="s">
        <v>133</v>
      </c>
      <c r="N27" s="797">
        <v>11</v>
      </c>
      <c r="O27" s="390"/>
      <c r="P27" s="601">
        <f>ROUND(N27,0)/ROUND($N$24,0)</f>
        <v>7.8627591136526086E-3</v>
      </c>
      <c r="Q27" s="217"/>
    </row>
    <row r="28" spans="1:17" ht="16.5" customHeight="1">
      <c r="A28" s="142"/>
      <c r="C28" s="688" t="s">
        <v>123</v>
      </c>
      <c r="D28" s="1192">
        <v>2.2999999999999998</v>
      </c>
      <c r="E28" s="390"/>
      <c r="F28" s="601">
        <f>ROUND(D28,0)/ROUND($D$24,0)</f>
        <v>6.8352699931647305E-4</v>
      </c>
      <c r="G28" s="387"/>
      <c r="H28" s="696"/>
      <c r="I28" s="606"/>
      <c r="J28" s="606"/>
      <c r="K28" s="607"/>
      <c r="L28" s="614"/>
      <c r="M28" s="688" t="s">
        <v>134</v>
      </c>
      <c r="N28" s="797">
        <v>773.4</v>
      </c>
      <c r="O28" s="1044"/>
      <c r="P28" s="601">
        <f>ROUND(N28,0)/ROUND($N$24,0)</f>
        <v>0.55253752680486057</v>
      </c>
      <c r="Q28" s="217"/>
    </row>
    <row r="29" spans="1:17" ht="16.5" customHeight="1">
      <c r="A29" s="142"/>
      <c r="C29" s="688" t="s">
        <v>124</v>
      </c>
      <c r="D29" s="1192">
        <v>332.5</v>
      </c>
      <c r="E29" s="390"/>
      <c r="F29" s="601">
        <f t="shared" si="1"/>
        <v>0.11380724538619276</v>
      </c>
      <c r="G29" s="387"/>
      <c r="H29" s="696"/>
      <c r="I29" s="623"/>
      <c r="J29" s="623"/>
      <c r="K29" s="624"/>
      <c r="L29" s="387"/>
      <c r="M29" s="698"/>
      <c r="N29" s="625"/>
      <c r="O29" s="600"/>
      <c r="P29" s="12"/>
    </row>
    <row r="30" spans="1:17" ht="16.5" customHeight="1">
      <c r="A30" s="142"/>
      <c r="C30" s="688" t="s">
        <v>395</v>
      </c>
      <c r="D30" s="1193">
        <v>498.6</v>
      </c>
      <c r="E30" s="600"/>
      <c r="F30" s="601">
        <f t="shared" si="1"/>
        <v>0.17053998632946002</v>
      </c>
      <c r="G30" s="387"/>
      <c r="H30" s="696"/>
      <c r="I30" s="607"/>
      <c r="J30" s="607"/>
      <c r="K30" s="607"/>
      <c r="L30" s="387"/>
      <c r="M30" s="696"/>
      <c r="N30" s="626"/>
      <c r="O30" s="626"/>
      <c r="P30" s="627"/>
    </row>
    <row r="31" spans="1:17" ht="16.5" customHeight="1" thickBot="1">
      <c r="A31" s="142"/>
      <c r="C31" s="697"/>
      <c r="D31" s="392"/>
      <c r="E31" s="392"/>
      <c r="F31" s="1047"/>
      <c r="G31" s="387"/>
      <c r="H31" s="697"/>
      <c r="I31" s="611"/>
      <c r="J31" s="611"/>
      <c r="K31" s="611"/>
      <c r="L31" s="387"/>
      <c r="M31" s="697"/>
      <c r="N31" s="611"/>
      <c r="O31" s="611"/>
      <c r="P31" s="611"/>
    </row>
    <row r="32" spans="1:17" ht="16.899999999999999" customHeight="1">
      <c r="A32" s="142"/>
      <c r="D32" s="221"/>
      <c r="E32" s="221"/>
      <c r="F32" s="154"/>
      <c r="I32" s="143"/>
      <c r="J32" s="143"/>
      <c r="K32" s="154"/>
      <c r="N32" s="143"/>
      <c r="O32" s="143"/>
      <c r="P32" s="154"/>
    </row>
    <row r="33" spans="1:16" ht="16.899999999999999" customHeight="1">
      <c r="A33" s="142"/>
      <c r="C33" s="227" t="s">
        <v>135</v>
      </c>
      <c r="D33" s="221"/>
      <c r="E33" s="221"/>
      <c r="F33" s="221"/>
      <c r="G33" s="137"/>
      <c r="H33" s="137"/>
      <c r="I33" s="221"/>
      <c r="J33" s="221"/>
      <c r="K33" s="221"/>
      <c r="L33" s="137"/>
      <c r="M33" s="137"/>
      <c r="N33" s="221"/>
      <c r="O33" s="221"/>
      <c r="P33" s="221"/>
    </row>
    <row r="34" spans="1:16" ht="16.5" customHeight="1">
      <c r="A34" s="142"/>
      <c r="C34" s="107" t="s">
        <v>136</v>
      </c>
    </row>
    <row r="35" spans="1:16" ht="16.5" customHeight="1">
      <c r="A35" s="142"/>
      <c r="C35" s="811" t="s">
        <v>137</v>
      </c>
    </row>
    <row r="36" spans="1:16" ht="24.75" customHeight="1">
      <c r="A36" s="142"/>
    </row>
    <row r="37" spans="1:16" ht="18" customHeight="1"/>
    <row r="38" spans="1:16" ht="18" customHeight="1"/>
    <row r="39" spans="1:16" ht="18" customHeight="1"/>
    <row r="40" spans="1:16" ht="18" customHeight="1"/>
    <row r="48" spans="1:16">
      <c r="C48" s="166"/>
      <c r="D48" s="231"/>
      <c r="E48" s="231"/>
      <c r="F48" s="231"/>
      <c r="G48" s="166"/>
      <c r="H48" s="166"/>
      <c r="I48" s="231"/>
      <c r="J48" s="231"/>
      <c r="K48" s="231"/>
    </row>
    <row r="53" spans="1:16">
      <c r="C53" s="166"/>
      <c r="D53" s="231"/>
      <c r="E53" s="231"/>
      <c r="F53" s="231"/>
      <c r="G53" s="166"/>
      <c r="H53" s="166"/>
      <c r="I53" s="231"/>
      <c r="J53" s="231"/>
      <c r="K53" s="231"/>
    </row>
    <row r="54" spans="1:16">
      <c r="C54" s="166"/>
      <c r="D54" s="231"/>
      <c r="E54" s="231"/>
      <c r="F54" s="231"/>
      <c r="G54" s="166"/>
      <c r="H54" s="166"/>
      <c r="I54" s="231"/>
      <c r="J54" s="231"/>
      <c r="K54" s="231"/>
    </row>
    <row r="64" spans="1:16" s="166" customFormat="1">
      <c r="A64" s="143"/>
      <c r="B64" s="143"/>
      <c r="C64" s="143"/>
      <c r="D64" s="217"/>
      <c r="E64" s="217"/>
      <c r="F64" s="217"/>
      <c r="G64" s="143"/>
      <c r="H64" s="143"/>
      <c r="I64" s="217"/>
      <c r="J64" s="217"/>
      <c r="K64" s="217"/>
      <c r="L64" s="143"/>
      <c r="M64" s="143"/>
      <c r="N64" s="217"/>
      <c r="O64" s="217"/>
      <c r="P64" s="217"/>
    </row>
    <row r="65" spans="1:16">
      <c r="B65" s="247"/>
    </row>
    <row r="66" spans="1:16">
      <c r="B66" s="247"/>
    </row>
    <row r="67" spans="1:16">
      <c r="B67" s="247"/>
    </row>
    <row r="68" spans="1:16">
      <c r="B68" s="247"/>
    </row>
    <row r="69" spans="1:16">
      <c r="B69" s="248"/>
    </row>
    <row r="70" spans="1:16" s="166" customFormat="1">
      <c r="A70" s="143"/>
      <c r="B70" s="248"/>
      <c r="C70" s="143"/>
      <c r="D70" s="217"/>
      <c r="E70" s="217"/>
      <c r="F70" s="217"/>
      <c r="G70" s="143"/>
      <c r="H70" s="143"/>
      <c r="I70" s="217"/>
      <c r="J70" s="217"/>
      <c r="K70" s="217"/>
      <c r="L70" s="143"/>
      <c r="M70" s="143"/>
      <c r="N70" s="217"/>
      <c r="O70" s="217"/>
      <c r="P70" s="217"/>
    </row>
    <row r="71" spans="1:16" s="166" customFormat="1">
      <c r="A71" s="143"/>
      <c r="B71" s="248"/>
      <c r="C71" s="143"/>
      <c r="D71" s="217"/>
      <c r="E71" s="217"/>
      <c r="F71" s="217"/>
      <c r="G71" s="143"/>
      <c r="H71" s="143"/>
      <c r="I71" s="217"/>
      <c r="J71" s="217"/>
      <c r="K71" s="217"/>
      <c r="L71" s="143"/>
      <c r="M71" s="143"/>
      <c r="N71" s="217"/>
      <c r="O71" s="217"/>
      <c r="P71" s="217"/>
    </row>
    <row r="72" spans="1:16">
      <c r="B72" s="249"/>
    </row>
    <row r="73" spans="1:16">
      <c r="B73" s="249"/>
    </row>
    <row r="84" spans="1:16">
      <c r="B84" s="249"/>
    </row>
    <row r="85" spans="1:16">
      <c r="B85" s="249"/>
    </row>
    <row r="86" spans="1:16">
      <c r="B86" s="249"/>
    </row>
    <row r="87" spans="1:16" s="166" customFormat="1">
      <c r="A87" s="143"/>
      <c r="B87" s="249"/>
      <c r="C87" s="143"/>
      <c r="D87" s="217"/>
      <c r="E87" s="217"/>
      <c r="F87" s="217"/>
      <c r="G87" s="143"/>
      <c r="H87" s="143"/>
      <c r="I87" s="217"/>
      <c r="J87" s="217"/>
      <c r="K87" s="217"/>
      <c r="L87" s="143"/>
      <c r="M87" s="143"/>
      <c r="N87" s="217"/>
      <c r="O87" s="217"/>
      <c r="P87" s="217"/>
    </row>
    <row r="88" spans="1:16">
      <c r="B88" s="249"/>
    </row>
    <row r="90" spans="1:16">
      <c r="B90" s="166"/>
    </row>
    <row r="92" spans="1:16" s="166" customFormat="1">
      <c r="A92" s="143"/>
      <c r="B92" s="143"/>
      <c r="C92" s="143"/>
      <c r="D92" s="217"/>
      <c r="E92" s="217"/>
      <c r="F92" s="217"/>
      <c r="G92" s="143"/>
      <c r="H92" s="143"/>
      <c r="I92" s="217"/>
      <c r="J92" s="217"/>
      <c r="K92" s="217"/>
      <c r="L92" s="143"/>
      <c r="M92" s="143"/>
      <c r="N92" s="217"/>
      <c r="O92" s="217"/>
      <c r="P92" s="217"/>
    </row>
    <row r="93" spans="1:16" s="166" customFormat="1">
      <c r="A93" s="143"/>
      <c r="B93" s="143"/>
      <c r="C93" s="143"/>
      <c r="D93" s="217"/>
      <c r="E93" s="217"/>
      <c r="F93" s="217"/>
      <c r="G93" s="143"/>
      <c r="H93" s="143"/>
      <c r="I93" s="217"/>
      <c r="J93" s="217"/>
      <c r="K93" s="217"/>
      <c r="L93" s="143"/>
      <c r="M93" s="143"/>
      <c r="N93" s="217"/>
      <c r="O93" s="217"/>
      <c r="P93" s="217"/>
    </row>
    <row r="96" spans="1:16">
      <c r="B96" s="166"/>
    </row>
    <row r="97" spans="2:2">
      <c r="B97" s="166"/>
    </row>
    <row r="113" spans="2:16">
      <c r="B113" s="166"/>
    </row>
    <row r="115" spans="2:16">
      <c r="L115" s="166"/>
      <c r="M115" s="166"/>
      <c r="N115" s="231"/>
      <c r="O115" s="231"/>
      <c r="P115" s="231"/>
    </row>
    <row r="118" spans="2:16">
      <c r="B118" s="166"/>
    </row>
    <row r="119" spans="2:16">
      <c r="B119" s="166"/>
    </row>
    <row r="121" spans="2:16">
      <c r="L121" s="166"/>
      <c r="M121" s="166"/>
      <c r="N121" s="231"/>
      <c r="O121" s="231"/>
      <c r="P121" s="231"/>
    </row>
    <row r="122" spans="2:16">
      <c r="L122" s="166"/>
      <c r="M122" s="166"/>
      <c r="N122" s="231"/>
      <c r="O122" s="231"/>
      <c r="P122" s="231"/>
    </row>
    <row r="138" spans="12:16">
      <c r="L138" s="166"/>
      <c r="M138" s="166"/>
      <c r="N138" s="231"/>
      <c r="O138" s="231"/>
      <c r="P138" s="231"/>
    </row>
    <row r="143" spans="12:16">
      <c r="L143" s="166"/>
      <c r="M143" s="166"/>
      <c r="N143" s="231"/>
      <c r="O143" s="231"/>
      <c r="P143" s="231"/>
    </row>
    <row r="144" spans="12:16">
      <c r="L144" s="166"/>
      <c r="M144" s="166"/>
      <c r="N144" s="231"/>
      <c r="O144" s="231"/>
      <c r="P144" s="231"/>
    </row>
  </sheetData>
  <mergeCells count="6">
    <mergeCell ref="D23:F23"/>
    <mergeCell ref="I23:K23"/>
    <mergeCell ref="N23:P23"/>
    <mergeCell ref="D8:F8"/>
    <mergeCell ref="I8:K8"/>
    <mergeCell ref="N8:P8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verticalDpi="0" r:id="rId1"/>
  <headerFooter>
    <oddHeader>&amp;R&amp;"Trebuchet MS,보통"&amp;12
www.wooribank.com</oddHeader>
    <oddFooter>&amp;R&amp;"Trebuchet MS,보통"Page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showGridLines="0" view="pageBreakPreview" zoomScale="91" zoomScaleNormal="100" zoomScaleSheetLayoutView="91" workbookViewId="0"/>
  </sheetViews>
  <sheetFormatPr defaultRowHeight="11.25"/>
  <cols>
    <col min="1" max="1" width="19" style="143" customWidth="1"/>
    <col min="2" max="2" width="3.7109375" style="143" customWidth="1"/>
    <col min="3" max="3" width="14.5703125" style="167" customWidth="1"/>
    <col min="4" max="4" width="13.140625" style="143" customWidth="1"/>
    <col min="5" max="5" width="0.5703125" style="143" customWidth="1"/>
    <col min="6" max="6" width="13.140625" style="143" customWidth="1"/>
    <col min="7" max="7" width="0.5703125" style="143" customWidth="1"/>
    <col min="8" max="8" width="13.140625" style="143" bestFit="1" customWidth="1"/>
    <col min="9" max="9" width="0.5703125" style="143" customWidth="1"/>
    <col min="10" max="10" width="13.140625" style="143" customWidth="1"/>
    <col min="11" max="11" width="0.5703125" style="143" customWidth="1"/>
    <col min="12" max="12" width="13.140625" style="143" customWidth="1"/>
    <col min="13" max="13" width="0.5703125" style="143" customWidth="1"/>
    <col min="14" max="14" width="13.140625" style="143" customWidth="1"/>
    <col min="15" max="15" width="0.5703125" style="143" customWidth="1"/>
    <col min="16" max="16" width="12.7109375" style="143" customWidth="1"/>
    <col min="17" max="17" width="1.5703125" style="143" customWidth="1"/>
    <col min="18" max="18" width="12.7109375" style="259" customWidth="1"/>
    <col min="19" max="20" width="1.28515625" style="143" customWidth="1"/>
    <col min="21" max="21" width="9.85546875" style="143" customWidth="1"/>
    <col min="22" max="16384" width="9.140625" style="143"/>
  </cols>
  <sheetData>
    <row r="1" spans="1:21" s="119" customFormat="1" ht="30" customHeight="1">
      <c r="A1" s="826"/>
      <c r="B1" s="138"/>
      <c r="C1" s="1307" t="s">
        <v>473</v>
      </c>
      <c r="D1" s="1307"/>
      <c r="E1" s="1307"/>
      <c r="F1" s="1307"/>
      <c r="G1" s="1307"/>
      <c r="H1" s="1307"/>
      <c r="I1" s="1307"/>
      <c r="J1" s="1307"/>
      <c r="K1" s="1307"/>
      <c r="L1" s="1307"/>
      <c r="M1" s="1307"/>
      <c r="N1" s="1307"/>
      <c r="O1" s="1307"/>
      <c r="P1" s="1307"/>
      <c r="Q1" s="1307"/>
      <c r="R1" s="1307"/>
      <c r="S1" s="1307"/>
      <c r="T1" s="1307"/>
      <c r="U1" s="250"/>
    </row>
    <row r="2" spans="1:21" s="119" customFormat="1" ht="36" hidden="1" customHeight="1">
      <c r="A2" s="139"/>
      <c r="C2" s="140"/>
      <c r="F2" s="122"/>
      <c r="G2" s="122"/>
      <c r="H2" s="122"/>
      <c r="I2" s="122"/>
      <c r="J2" s="122"/>
      <c r="K2" s="122"/>
      <c r="R2" s="148"/>
      <c r="U2" s="122"/>
    </row>
    <row r="3" spans="1:21" s="119" customFormat="1" ht="36" hidden="1" customHeight="1">
      <c r="A3" s="139"/>
      <c r="C3" s="141"/>
      <c r="F3" s="122"/>
      <c r="G3" s="122"/>
      <c r="H3" s="122"/>
      <c r="I3" s="122"/>
      <c r="J3" s="122"/>
      <c r="K3" s="122"/>
      <c r="R3" s="148"/>
      <c r="U3" s="122"/>
    </row>
    <row r="4" spans="1:21" s="119" customFormat="1" ht="36" hidden="1" customHeight="1">
      <c r="A4" s="139"/>
      <c r="C4" s="141"/>
      <c r="F4" s="122"/>
      <c r="G4" s="122"/>
      <c r="H4" s="122"/>
      <c r="I4" s="122"/>
      <c r="J4" s="122"/>
      <c r="K4" s="122"/>
      <c r="R4" s="148"/>
      <c r="U4" s="122"/>
    </row>
    <row r="5" spans="1:21" s="119" customFormat="1" ht="36" hidden="1" customHeight="1">
      <c r="A5" s="139"/>
      <c r="C5" s="141"/>
      <c r="F5" s="122"/>
      <c r="G5" s="122"/>
      <c r="H5" s="122"/>
      <c r="I5" s="122"/>
      <c r="J5" s="122"/>
      <c r="K5" s="122"/>
      <c r="R5" s="148"/>
      <c r="U5" s="122"/>
    </row>
    <row r="6" spans="1:21" s="119" customFormat="1" ht="36" hidden="1" customHeight="1">
      <c r="A6" s="139"/>
      <c r="C6" s="141"/>
      <c r="F6" s="122"/>
      <c r="G6" s="122"/>
      <c r="H6" s="122"/>
      <c r="I6" s="122"/>
      <c r="J6" s="122"/>
      <c r="K6" s="122"/>
      <c r="R6" s="148"/>
      <c r="U6" s="122"/>
    </row>
    <row r="7" spans="1:21" s="119" customFormat="1" ht="36" hidden="1" customHeight="1">
      <c r="A7" s="139"/>
      <c r="C7" s="141"/>
      <c r="F7" s="122"/>
      <c r="G7" s="122"/>
      <c r="H7" s="122"/>
      <c r="I7" s="122"/>
      <c r="J7" s="122"/>
      <c r="K7" s="122"/>
      <c r="R7" s="148"/>
      <c r="U7" s="122"/>
    </row>
    <row r="8" spans="1:21" s="119" customFormat="1" ht="36" hidden="1" customHeight="1">
      <c r="A8" s="139"/>
      <c r="C8" s="141"/>
      <c r="F8" s="122"/>
      <c r="G8" s="122"/>
      <c r="H8" s="122"/>
      <c r="I8" s="122"/>
      <c r="J8" s="122"/>
      <c r="K8" s="122"/>
      <c r="R8" s="148"/>
      <c r="U8" s="122"/>
    </row>
    <row r="9" spans="1:21" s="119" customFormat="1" ht="28.5" hidden="1" customHeight="1">
      <c r="A9" s="139"/>
      <c r="C9" s="141"/>
      <c r="F9" s="122"/>
      <c r="G9" s="122"/>
      <c r="H9" s="122"/>
      <c r="I9" s="122"/>
      <c r="J9" s="122"/>
      <c r="K9" s="122"/>
      <c r="R9" s="148"/>
      <c r="U9" s="122"/>
    </row>
    <row r="10" spans="1:21" s="119" customFormat="1" ht="24.75" customHeight="1">
      <c r="A10" s="139"/>
      <c r="C10" s="141"/>
      <c r="F10" s="122"/>
      <c r="G10" s="122"/>
      <c r="H10" s="122"/>
      <c r="I10" s="122"/>
      <c r="J10" s="122"/>
      <c r="K10" s="122"/>
      <c r="R10" s="148"/>
      <c r="U10" s="122"/>
    </row>
    <row r="11" spans="1:21" s="119" customFormat="1" ht="2.25" customHeight="1">
      <c r="A11" s="139"/>
      <c r="C11" s="141"/>
      <c r="F11" s="122"/>
      <c r="G11" s="122"/>
      <c r="H11" s="122"/>
      <c r="I11" s="122"/>
      <c r="J11" s="122"/>
      <c r="K11" s="122"/>
      <c r="R11" s="148"/>
      <c r="U11" s="122"/>
    </row>
    <row r="12" spans="1:21" ht="16.899999999999999" customHeight="1">
      <c r="A12" s="142"/>
      <c r="C12" s="22" t="s">
        <v>414</v>
      </c>
      <c r="D12" s="123"/>
      <c r="E12" s="123"/>
      <c r="F12" s="123"/>
      <c r="G12" s="123"/>
      <c r="H12" s="123"/>
      <c r="I12" s="123"/>
      <c r="J12" s="123"/>
      <c r="K12" s="123"/>
      <c r="L12" s="144"/>
      <c r="M12" s="144"/>
      <c r="N12" s="144"/>
      <c r="O12" s="144"/>
      <c r="P12" s="144"/>
      <c r="Q12" s="144"/>
      <c r="R12" s="144"/>
      <c r="S12" s="144"/>
      <c r="T12" s="144"/>
    </row>
    <row r="13" spans="1:21" ht="16.899999999999999" customHeight="1">
      <c r="A13" s="216"/>
      <c r="C13" s="136"/>
      <c r="D13" s="123"/>
      <c r="E13" s="123"/>
      <c r="F13" s="123"/>
      <c r="G13" s="123"/>
      <c r="H13" s="123"/>
      <c r="I13" s="123"/>
      <c r="J13" s="123"/>
      <c r="K13" s="123"/>
      <c r="L13" s="144"/>
      <c r="M13" s="144"/>
      <c r="N13" s="144"/>
      <c r="O13" s="144"/>
      <c r="P13" s="144"/>
      <c r="Q13" s="144"/>
      <c r="R13" s="177"/>
      <c r="S13" s="144"/>
      <c r="T13" s="144"/>
      <c r="U13" s="956"/>
    </row>
    <row r="14" spans="1:21" ht="24" customHeight="1">
      <c r="A14" s="216"/>
      <c r="C14" s="145" t="s">
        <v>140</v>
      </c>
      <c r="D14" s="39" t="s">
        <v>141</v>
      </c>
      <c r="E14" s="39"/>
      <c r="F14" s="39" t="s">
        <v>142</v>
      </c>
      <c r="G14" s="39"/>
      <c r="H14" s="39" t="s">
        <v>143</v>
      </c>
      <c r="I14" s="39"/>
      <c r="J14" s="39" t="s">
        <v>144</v>
      </c>
      <c r="K14" s="39"/>
      <c r="L14" s="39" t="s">
        <v>145</v>
      </c>
      <c r="M14" s="39"/>
      <c r="N14" s="39" t="s">
        <v>146</v>
      </c>
      <c r="O14" s="39"/>
      <c r="P14" s="496" t="s">
        <v>147</v>
      </c>
      <c r="Q14" s="39"/>
      <c r="R14" s="496" t="s">
        <v>148</v>
      </c>
      <c r="S14" s="146"/>
      <c r="T14" s="148"/>
      <c r="U14" s="148"/>
    </row>
    <row r="15" spans="1:21" ht="28.5" customHeight="1">
      <c r="A15" s="251"/>
      <c r="B15" s="565"/>
      <c r="C15" s="707" t="s">
        <v>191</v>
      </c>
      <c r="D15" s="1195">
        <v>16035.619000000001</v>
      </c>
      <c r="E15" s="1195">
        <v>0</v>
      </c>
      <c r="F15" s="1195">
        <v>11069.456</v>
      </c>
      <c r="G15" s="1195">
        <v>0</v>
      </c>
      <c r="H15" s="1195">
        <v>20566.965</v>
      </c>
      <c r="I15" s="1195">
        <v>0</v>
      </c>
      <c r="J15" s="1195">
        <v>12356.800999999999</v>
      </c>
      <c r="K15" s="1195">
        <v>0</v>
      </c>
      <c r="L15" s="1195">
        <v>6678.6719999999996</v>
      </c>
      <c r="M15" s="1195">
        <v>0</v>
      </c>
      <c r="N15" s="1195">
        <v>768.85299999999995</v>
      </c>
      <c r="O15" s="1195">
        <v>0</v>
      </c>
      <c r="P15" s="1195">
        <v>568.48800000000006</v>
      </c>
      <c r="Q15" s="1196"/>
      <c r="R15" s="1197">
        <v>68044.853000000003</v>
      </c>
      <c r="S15" s="1215"/>
      <c r="T15" s="122"/>
      <c r="U15" s="122"/>
    </row>
    <row r="16" spans="1:21" ht="28.5" customHeight="1" thickBot="1">
      <c r="A16" s="216"/>
      <c r="C16" s="708" t="s">
        <v>12</v>
      </c>
      <c r="D16" s="989">
        <f>D15/$R$15</f>
        <v>0.23566248280380589</v>
      </c>
      <c r="E16" s="990"/>
      <c r="F16" s="989">
        <f>F15/$R$15</f>
        <v>0.16267881422273039</v>
      </c>
      <c r="G16" s="990"/>
      <c r="H16" s="989">
        <f>H15/$R$15</f>
        <v>0.30225599870132719</v>
      </c>
      <c r="I16" s="990"/>
      <c r="J16" s="989">
        <f>J15/$R$15</f>
        <v>0.18159787926942833</v>
      </c>
      <c r="K16" s="990"/>
      <c r="L16" s="989">
        <f>L15/$R$15</f>
        <v>9.8151024001771295E-2</v>
      </c>
      <c r="M16" s="990"/>
      <c r="N16" s="989">
        <f>N15/$R$15</f>
        <v>1.1299208773366001E-2</v>
      </c>
      <c r="O16" s="990"/>
      <c r="P16" s="989">
        <f>P15/$R$15</f>
        <v>8.3546069237595381E-3</v>
      </c>
      <c r="Q16" s="990"/>
      <c r="R16" s="991">
        <f>D16+F16+H16+J16+L16+N16+P16</f>
        <v>1.0000000146961887</v>
      </c>
      <c r="S16" s="252"/>
      <c r="T16" s="129"/>
      <c r="U16" s="130"/>
    </row>
    <row r="17" spans="1:21" ht="7.5" customHeight="1">
      <c r="A17" s="216"/>
      <c r="C17" s="157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44"/>
      <c r="S17" s="123"/>
      <c r="T17" s="137"/>
      <c r="U17" s="137"/>
    </row>
    <row r="18" spans="1:21" ht="12.75" customHeight="1">
      <c r="A18" s="216"/>
      <c r="C18" s="497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44"/>
      <c r="S18" s="123"/>
      <c r="T18" s="137"/>
      <c r="U18" s="137"/>
    </row>
    <row r="19" spans="1:21" ht="12.75" customHeight="1">
      <c r="A19" s="216"/>
      <c r="C19" s="497"/>
      <c r="D19" s="123"/>
      <c r="E19" s="123"/>
      <c r="F19" s="123"/>
      <c r="G19" s="123"/>
      <c r="H19" s="123"/>
      <c r="I19" s="123"/>
      <c r="J19" s="253"/>
      <c r="K19" s="123"/>
      <c r="L19" s="123"/>
      <c r="M19" s="123"/>
      <c r="N19" s="123"/>
      <c r="O19" s="123"/>
      <c r="P19" s="123"/>
      <c r="Q19" s="123"/>
      <c r="R19" s="144"/>
      <c r="S19" s="123"/>
      <c r="T19" s="137"/>
      <c r="U19" s="137"/>
    </row>
    <row r="20" spans="1:21" ht="10.5" customHeight="1">
      <c r="A20" s="216"/>
      <c r="C20" s="157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54"/>
      <c r="R20" s="255"/>
      <c r="S20" s="123"/>
      <c r="T20" s="137"/>
      <c r="U20" s="137"/>
    </row>
    <row r="21" spans="1:21" ht="10.5" customHeight="1">
      <c r="A21" s="216"/>
      <c r="C21" s="157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44"/>
      <c r="S21" s="123"/>
      <c r="T21" s="137"/>
      <c r="U21" s="137"/>
    </row>
    <row r="22" spans="1:21" ht="16.899999999999999" customHeight="1">
      <c r="A22" s="216"/>
      <c r="C22" s="22" t="s">
        <v>415</v>
      </c>
      <c r="D22" s="123"/>
      <c r="E22" s="123"/>
      <c r="F22" s="256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44"/>
      <c r="S22" s="123"/>
      <c r="T22" s="123"/>
      <c r="U22" s="137"/>
    </row>
    <row r="23" spans="1:21" ht="12.75" customHeight="1">
      <c r="A23" s="216"/>
      <c r="C23" s="136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77"/>
      <c r="S23" s="123"/>
      <c r="T23" s="122"/>
      <c r="U23" s="122"/>
    </row>
    <row r="24" spans="1:21" ht="24" customHeight="1">
      <c r="A24" s="216"/>
      <c r="C24" s="145" t="s">
        <v>140</v>
      </c>
      <c r="D24" s="39" t="s">
        <v>141</v>
      </c>
      <c r="E24" s="39"/>
      <c r="F24" s="39" t="s">
        <v>142</v>
      </c>
      <c r="G24" s="39"/>
      <c r="H24" s="39" t="s">
        <v>143</v>
      </c>
      <c r="I24" s="39"/>
      <c r="J24" s="39" t="s">
        <v>144</v>
      </c>
      <c r="K24" s="39"/>
      <c r="L24" s="39" t="s">
        <v>145</v>
      </c>
      <c r="M24" s="39"/>
      <c r="N24" s="39" t="s">
        <v>146</v>
      </c>
      <c r="O24" s="39"/>
      <c r="P24" s="496" t="s">
        <v>147</v>
      </c>
      <c r="Q24" s="39"/>
      <c r="R24" s="496" t="s">
        <v>148</v>
      </c>
      <c r="S24" s="146"/>
      <c r="T24" s="148"/>
      <c r="U24" s="158"/>
    </row>
    <row r="25" spans="1:21" ht="28.5" customHeight="1">
      <c r="A25" s="251"/>
      <c r="B25" s="565"/>
      <c r="C25" s="707" t="s">
        <v>191</v>
      </c>
      <c r="D25" s="1195">
        <v>7678.1139999999996</v>
      </c>
      <c r="E25" s="1195">
        <v>0</v>
      </c>
      <c r="F25" s="1195">
        <v>7702.7659999999996</v>
      </c>
      <c r="G25" s="1195">
        <v>0</v>
      </c>
      <c r="H25" s="1195">
        <v>18183.449000000001</v>
      </c>
      <c r="I25" s="1195">
        <v>0</v>
      </c>
      <c r="J25" s="1195">
        <v>16818.804</v>
      </c>
      <c r="K25" s="1195">
        <v>0</v>
      </c>
      <c r="L25" s="1195">
        <v>6510.4620000000004</v>
      </c>
      <c r="M25" s="1195">
        <v>0</v>
      </c>
      <c r="N25" s="1195">
        <v>46155.822</v>
      </c>
      <c r="O25" s="1195">
        <v>0</v>
      </c>
      <c r="P25" s="1195">
        <v>326.99299999999999</v>
      </c>
      <c r="Q25" s="1198"/>
      <c r="R25" s="1197">
        <v>103376.41099999999</v>
      </c>
      <c r="S25" s="1216"/>
      <c r="T25" s="122"/>
      <c r="U25" s="122"/>
    </row>
    <row r="26" spans="1:21" ht="28.5" customHeight="1" thickBot="1">
      <c r="A26" s="216"/>
      <c r="C26" s="708" t="s">
        <v>13</v>
      </c>
      <c r="D26" s="989">
        <f>D25/$R$25</f>
        <v>7.4273365903561886E-2</v>
      </c>
      <c r="E26" s="992"/>
      <c r="F26" s="989">
        <f>F25/$R$25</f>
        <v>7.4511834232666482E-2</v>
      </c>
      <c r="G26" s="992"/>
      <c r="H26" s="989">
        <f>H25/$R$25</f>
        <v>0.1758955338466916</v>
      </c>
      <c r="I26" s="992"/>
      <c r="J26" s="989">
        <f>J25/$R$25</f>
        <v>0.16269479504371651</v>
      </c>
      <c r="K26" s="992"/>
      <c r="L26" s="989">
        <f>L25/$R$25</f>
        <v>6.2978216568187889E-2</v>
      </c>
      <c r="M26" s="992"/>
      <c r="N26" s="989">
        <f>N25/$R$25</f>
        <v>0.44648311499225873</v>
      </c>
      <c r="O26" s="992"/>
      <c r="P26" s="989">
        <f>P25/$R$25</f>
        <v>3.1631297395302302E-3</v>
      </c>
      <c r="Q26" s="992"/>
      <c r="R26" s="991">
        <f>D26+F26+H26+J26+L26+N26+P26</f>
        <v>0.99999999032661346</v>
      </c>
      <c r="S26" s="252"/>
      <c r="T26" s="221"/>
      <c r="U26" s="152"/>
    </row>
    <row r="27" spans="1:21" ht="5.25" customHeight="1">
      <c r="A27" s="216"/>
      <c r="C27" s="439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257"/>
      <c r="S27" s="164"/>
      <c r="T27" s="165"/>
      <c r="U27" s="165"/>
    </row>
    <row r="28" spans="1:21" ht="12.75" customHeight="1">
      <c r="A28" s="216"/>
      <c r="C28" s="497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44"/>
      <c r="S28" s="164"/>
      <c r="T28" s="165"/>
      <c r="U28" s="165"/>
    </row>
    <row r="29" spans="1:21" ht="12.75" customHeight="1">
      <c r="A29" s="216"/>
      <c r="C29" s="497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257"/>
      <c r="S29" s="164"/>
      <c r="T29" s="165"/>
      <c r="U29" s="165"/>
    </row>
    <row r="30" spans="1:21" ht="10.5" customHeight="1">
      <c r="A30" s="216"/>
      <c r="C30" s="448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257"/>
      <c r="S30" s="164"/>
      <c r="T30" s="165"/>
      <c r="U30" s="165"/>
    </row>
    <row r="31" spans="1:21" ht="10.5" customHeight="1">
      <c r="A31" s="216"/>
      <c r="B31" s="166"/>
      <c r="C31" s="439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55"/>
      <c r="S31" s="164"/>
      <c r="T31" s="164"/>
      <c r="U31" s="164"/>
    </row>
    <row r="32" spans="1:21" ht="16.5" customHeight="1">
      <c r="A32" s="216"/>
      <c r="B32" s="166"/>
      <c r="C32" s="22" t="s">
        <v>416</v>
      </c>
      <c r="D32" s="123"/>
      <c r="E32" s="123"/>
      <c r="F32" s="256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44"/>
      <c r="S32" s="123"/>
      <c r="T32" s="10"/>
      <c r="U32" s="10"/>
    </row>
    <row r="33" spans="1:19" ht="12.75" customHeight="1">
      <c r="A33" s="216"/>
      <c r="C33" s="136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77"/>
      <c r="S33" s="123"/>
    </row>
    <row r="34" spans="1:19" ht="24" customHeight="1">
      <c r="A34" s="216"/>
      <c r="C34" s="145" t="s">
        <v>140</v>
      </c>
      <c r="D34" s="39" t="s">
        <v>141</v>
      </c>
      <c r="E34" s="39"/>
      <c r="F34" s="39" t="s">
        <v>142</v>
      </c>
      <c r="G34" s="39"/>
      <c r="H34" s="39" t="s">
        <v>143</v>
      </c>
      <c r="I34" s="39"/>
      <c r="J34" s="39" t="s">
        <v>144</v>
      </c>
      <c r="K34" s="39"/>
      <c r="L34" s="39" t="s">
        <v>145</v>
      </c>
      <c r="M34" s="39"/>
      <c r="N34" s="39" t="s">
        <v>146</v>
      </c>
      <c r="O34" s="39"/>
      <c r="P34" s="496" t="s">
        <v>147</v>
      </c>
      <c r="Q34" s="39"/>
      <c r="R34" s="496" t="s">
        <v>148</v>
      </c>
      <c r="S34" s="146"/>
    </row>
    <row r="35" spans="1:19" ht="28.5" customHeight="1">
      <c r="A35" s="251"/>
      <c r="B35" s="565"/>
      <c r="C35" s="707" t="s">
        <v>191</v>
      </c>
      <c r="D35" s="1197">
        <v>3522.25</v>
      </c>
      <c r="E35" s="1197">
        <v>0</v>
      </c>
      <c r="F35" s="1197">
        <v>3363.451</v>
      </c>
      <c r="G35" s="1197">
        <v>0</v>
      </c>
      <c r="H35" s="1197">
        <v>9552.2819999999992</v>
      </c>
      <c r="I35" s="1197">
        <v>0</v>
      </c>
      <c r="J35" s="1197">
        <v>14700.014999999999</v>
      </c>
      <c r="K35" s="1197">
        <v>0</v>
      </c>
      <c r="L35" s="1197">
        <v>4604.7349999999997</v>
      </c>
      <c r="M35" s="1197">
        <v>0</v>
      </c>
      <c r="N35" s="1197">
        <v>45734.567999999999</v>
      </c>
      <c r="O35" s="1197">
        <v>0</v>
      </c>
      <c r="P35" s="1197">
        <v>214.267</v>
      </c>
      <c r="Q35" s="1199"/>
      <c r="R35" s="1197">
        <v>81691.569000000003</v>
      </c>
      <c r="S35" s="1215"/>
    </row>
    <row r="36" spans="1:19" ht="28.5" customHeight="1" thickBot="1">
      <c r="A36" s="142"/>
      <c r="C36" s="708" t="s">
        <v>13</v>
      </c>
      <c r="D36" s="989">
        <f>D35/$R$35</f>
        <v>4.3116444488904358E-2</v>
      </c>
      <c r="E36" s="992"/>
      <c r="F36" s="989">
        <f>F35/$R$35</f>
        <v>4.1172559679934655E-2</v>
      </c>
      <c r="G36" s="992"/>
      <c r="H36" s="989">
        <f>H35/$R$35</f>
        <v>0.11693106298399042</v>
      </c>
      <c r="I36" s="992"/>
      <c r="J36" s="989">
        <f>J35/$R$35</f>
        <v>0.17994531357330154</v>
      </c>
      <c r="K36" s="992"/>
      <c r="L36" s="989">
        <f>L35/$R$35</f>
        <v>5.6367322312049113E-2</v>
      </c>
      <c r="M36" s="992"/>
      <c r="N36" s="989">
        <f>N35/$R$35</f>
        <v>0.55984440695465154</v>
      </c>
      <c r="O36" s="992"/>
      <c r="P36" s="989">
        <f>P35/$R$35</f>
        <v>2.6228777660030006E-3</v>
      </c>
      <c r="Q36" s="992"/>
      <c r="R36" s="991">
        <f>D36+F36+H36+J36+L36+N36+P36</f>
        <v>0.99999998775883459</v>
      </c>
      <c r="S36" s="252"/>
    </row>
    <row r="37" spans="1:19" ht="17.25" customHeight="1">
      <c r="A37" s="142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58"/>
      <c r="S37" s="217"/>
    </row>
    <row r="38" spans="1:19" ht="18" customHeight="1">
      <c r="A38" s="142"/>
      <c r="C38" s="937" t="s">
        <v>530</v>
      </c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44"/>
    </row>
    <row r="39" spans="1:19" ht="18" customHeight="1">
      <c r="A39" s="142"/>
      <c r="C39" s="937" t="s">
        <v>149</v>
      </c>
    </row>
    <row r="40" spans="1:19" ht="18" customHeight="1"/>
    <row r="41" spans="1:19" ht="18" customHeight="1"/>
    <row r="42" spans="1:19" ht="18" customHeight="1"/>
    <row r="43" spans="1:19" ht="18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spans="2:21" ht="18" customHeight="1"/>
    <row r="50" spans="2:21" ht="18" customHeight="1"/>
    <row r="51" spans="2:21" ht="18" customHeight="1"/>
    <row r="52" spans="2:21" ht="18" customHeight="1"/>
    <row r="53" spans="2:21" ht="18" customHeight="1"/>
    <row r="54" spans="2:21" ht="18" customHeight="1"/>
    <row r="55" spans="2:21" ht="18" customHeight="1"/>
    <row r="56" spans="2:21" ht="18" customHeight="1"/>
    <row r="57" spans="2:21" ht="18" customHeight="1"/>
    <row r="58" spans="2:21" ht="18" customHeight="1"/>
    <row r="59" spans="2:21" ht="18" customHeight="1"/>
    <row r="60" spans="2:21" s="166" customFormat="1" ht="18" customHeight="1">
      <c r="B60" s="143"/>
      <c r="C60" s="167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259"/>
      <c r="S60" s="143"/>
      <c r="T60" s="143"/>
      <c r="U60" s="143"/>
    </row>
    <row r="61" spans="2:21" ht="18" customHeight="1"/>
    <row r="62" spans="2:21" ht="18" customHeight="1"/>
    <row r="63" spans="2:21" ht="18" customHeight="1"/>
    <row r="64" spans="2:21" ht="18" customHeight="1"/>
    <row r="65" spans="2:21" ht="18" customHeight="1"/>
    <row r="66" spans="2:21" s="166" customFormat="1" ht="18" customHeight="1">
      <c r="B66" s="143"/>
      <c r="C66" s="167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259"/>
      <c r="S66" s="143"/>
      <c r="T66" s="143"/>
      <c r="U66" s="143"/>
    </row>
    <row r="67" spans="2:21" s="166" customFormat="1" ht="18" customHeight="1">
      <c r="B67" s="143"/>
      <c r="C67" s="167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259"/>
      <c r="S67" s="143"/>
      <c r="T67" s="143"/>
      <c r="U67" s="143"/>
    </row>
    <row r="68" spans="2:21" ht="18" customHeight="1"/>
    <row r="69" spans="2:21" ht="18" customHeight="1"/>
    <row r="70" spans="2:21" ht="18" customHeight="1"/>
    <row r="71" spans="2:21" ht="18" customHeight="1"/>
    <row r="72" spans="2:21" ht="18" customHeight="1"/>
    <row r="73" spans="2:21" ht="18" customHeight="1"/>
    <row r="74" spans="2:21" ht="18" customHeight="1"/>
    <row r="75" spans="2:21" ht="18" customHeight="1"/>
    <row r="76" spans="2:21" ht="18" customHeight="1"/>
    <row r="77" spans="2:21" ht="18" customHeight="1"/>
    <row r="78" spans="2:21" ht="18" customHeight="1"/>
    <row r="79" spans="2:21" ht="18" customHeight="1"/>
    <row r="80" spans="2:21" ht="18" customHeight="1"/>
    <row r="81" spans="2:21" ht="18" customHeight="1"/>
    <row r="82" spans="2:21" ht="18" customHeight="1"/>
    <row r="83" spans="2:21" s="166" customFormat="1" ht="17.100000000000001" customHeight="1">
      <c r="B83" s="143"/>
      <c r="C83" s="167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259"/>
      <c r="S83" s="143"/>
      <c r="T83" s="143"/>
      <c r="U83" s="143"/>
    </row>
    <row r="84" spans="2:21" ht="17.100000000000001" customHeight="1"/>
    <row r="85" spans="2:21" ht="17.100000000000001" customHeight="1"/>
    <row r="86" spans="2:21" ht="17.100000000000001" customHeight="1"/>
    <row r="87" spans="2:21" ht="17.100000000000001" customHeight="1"/>
    <row r="88" spans="2:21" s="166" customFormat="1" ht="17.100000000000001" customHeight="1">
      <c r="B88" s="143"/>
      <c r="C88" s="167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259"/>
      <c r="S88" s="143"/>
      <c r="T88" s="143"/>
      <c r="U88" s="143"/>
    </row>
    <row r="89" spans="2:21" s="166" customFormat="1" ht="17.100000000000001" customHeight="1">
      <c r="B89" s="143"/>
      <c r="C89" s="167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259"/>
      <c r="S89" s="143"/>
      <c r="T89" s="143"/>
      <c r="U89" s="143"/>
    </row>
  </sheetData>
  <mergeCells count="1">
    <mergeCell ref="C1:T1"/>
  </mergeCells>
  <phoneticPr fontId="2" type="noConversion"/>
  <hyperlinks>
    <hyperlink ref="C2:J2" location="ToC!A1" display="Loan Breakdown"/>
    <hyperlink ref="F2:L2" location="ToC!A1" display="Loan Breakdown"/>
  </hyperlinks>
  <pageMargins left="0.43307086614173229" right="0.23622047244094491" top="0.62992125984251968" bottom="0.35433070866141736" header="0.15748031496062992" footer="0.15748031496062992"/>
  <pageSetup paperSize="9" scale="85" orientation="landscape" useFirstPageNumber="1" verticalDpi="0" r:id="rId1"/>
  <headerFooter>
    <oddHeader>&amp;R&amp;"Trebuchet MS,보통"&amp;12
www.wooribank.com</oddHeader>
    <oddFooter>&amp;R&amp;"Trebuchet MS,보통"Page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5"/>
  <sheetViews>
    <sheetView showGridLines="0" view="pageBreakPreview" zoomScale="90" zoomScaleNormal="85" zoomScaleSheetLayoutView="90" workbookViewId="0">
      <selection activeCell="I37" sqref="I37"/>
    </sheetView>
  </sheetViews>
  <sheetFormatPr defaultRowHeight="15"/>
  <cols>
    <col min="1" max="1" width="18.7109375" style="77" customWidth="1"/>
    <col min="2" max="2" width="3.85546875" style="77" customWidth="1"/>
    <col min="3" max="3" width="10" style="77" customWidth="1"/>
    <col min="4" max="4" width="18.42578125" style="77" customWidth="1"/>
    <col min="5" max="11" width="19.5703125" style="77" customWidth="1"/>
    <col min="12" max="13" width="1.28515625" style="77" customWidth="1"/>
    <col min="14" max="26" width="8.140625" style="77" customWidth="1"/>
    <col min="27" max="16384" width="9.140625" style="77"/>
  </cols>
  <sheetData>
    <row r="1" spans="1:24" ht="30" customHeight="1">
      <c r="A1" s="827"/>
      <c r="B1" s="168"/>
      <c r="C1" s="334" t="s">
        <v>451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168"/>
    </row>
    <row r="2" spans="1:24">
      <c r="A2" s="169"/>
    </row>
    <row r="3" spans="1:24" ht="15.75">
      <c r="A3" s="169"/>
      <c r="C3" s="872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873"/>
      <c r="Q3" s="873"/>
      <c r="R3" s="873"/>
      <c r="S3" s="873"/>
      <c r="T3" s="873"/>
      <c r="U3" s="873"/>
      <c r="V3" s="873"/>
      <c r="W3" s="873"/>
    </row>
    <row r="4" spans="1:24" ht="17.25">
      <c r="A4" s="169"/>
      <c r="C4" s="877" t="s">
        <v>452</v>
      </c>
      <c r="D4" s="878"/>
      <c r="E4" s="1328"/>
      <c r="F4" s="1328"/>
      <c r="G4" s="1328"/>
      <c r="H4" s="1328"/>
      <c r="I4" s="1328"/>
      <c r="J4" s="1328"/>
      <c r="K4" s="1328"/>
      <c r="L4" s="1328"/>
      <c r="M4" s="1328"/>
      <c r="N4" s="1328"/>
      <c r="O4" s="1328"/>
      <c r="P4" s="1328"/>
      <c r="Q4" s="1328"/>
      <c r="R4" s="1328"/>
      <c r="S4" s="1328"/>
      <c r="T4" s="1328"/>
      <c r="U4" s="1328"/>
      <c r="V4" s="1328"/>
      <c r="W4" s="1328"/>
    </row>
    <row r="5" spans="1:24">
      <c r="A5" s="174"/>
      <c r="B5" s="109"/>
      <c r="C5" s="499"/>
      <c r="D5" s="874"/>
      <c r="E5" s="874"/>
      <c r="F5" s="874"/>
      <c r="G5" s="874"/>
      <c r="H5" s="874"/>
      <c r="I5" s="874"/>
      <c r="J5" s="874"/>
      <c r="K5" s="874"/>
      <c r="L5" s="874"/>
      <c r="M5" s="874"/>
      <c r="N5" s="874"/>
      <c r="O5" s="874"/>
      <c r="P5" s="874"/>
      <c r="Q5" s="874"/>
      <c r="R5" s="874"/>
      <c r="S5" s="874"/>
      <c r="T5" s="874"/>
      <c r="U5" s="874"/>
      <c r="V5" s="874"/>
      <c r="W5" s="874"/>
    </row>
    <row r="6" spans="1:24" ht="18.75" customHeight="1">
      <c r="A6" s="174"/>
      <c r="B6" s="109"/>
      <c r="C6" s="145"/>
      <c r="D6" s="145" t="s">
        <v>453</v>
      </c>
      <c r="E6" s="1059" t="s">
        <v>479</v>
      </c>
      <c r="F6" s="1059" t="s">
        <v>482</v>
      </c>
      <c r="G6" s="1059" t="s">
        <v>501</v>
      </c>
      <c r="H6" s="1059" t="s">
        <v>499</v>
      </c>
      <c r="I6" s="1059" t="s">
        <v>504</v>
      </c>
      <c r="J6" s="1059" t="s">
        <v>531</v>
      </c>
      <c r="K6" s="860" t="s">
        <v>528</v>
      </c>
      <c r="L6" s="146"/>
      <c r="M6" s="866"/>
      <c r="N6" s="867"/>
      <c r="O6" s="866"/>
      <c r="P6" s="866"/>
      <c r="Q6" s="867"/>
      <c r="R6" s="866"/>
      <c r="S6" s="866"/>
      <c r="T6" s="867"/>
      <c r="U6" s="866"/>
      <c r="V6" s="866"/>
      <c r="W6" s="867"/>
    </row>
    <row r="7" spans="1:24" ht="18.75" customHeight="1" thickBot="1">
      <c r="A7" s="174"/>
      <c r="B7" s="109"/>
      <c r="C7" s="1327" t="s">
        <v>454</v>
      </c>
      <c r="D7" s="861" t="s">
        <v>455</v>
      </c>
      <c r="E7" s="908">
        <v>1.84E-2</v>
      </c>
      <c r="F7" s="908">
        <v>1.84E-2</v>
      </c>
      <c r="G7" s="908">
        <v>1.8700000000000001E-2</v>
      </c>
      <c r="H7" s="908">
        <v>1.8599999999999998E-2</v>
      </c>
      <c r="I7" s="908">
        <v>1.8599999999999998E-2</v>
      </c>
      <c r="J7" s="1138">
        <v>1.8499999999999999E-2</v>
      </c>
      <c r="K7" s="1223">
        <v>1.9099999999999999E-2</v>
      </c>
      <c r="L7" s="862"/>
      <c r="M7" s="866"/>
      <c r="N7" s="867"/>
      <c r="O7" s="866"/>
      <c r="P7" s="866"/>
      <c r="Q7" s="867"/>
      <c r="R7" s="866"/>
      <c r="S7" s="866"/>
      <c r="T7" s="867"/>
      <c r="U7" s="866"/>
      <c r="V7" s="866"/>
      <c r="W7" s="867"/>
    </row>
    <row r="8" spans="1:24" ht="18.75" customHeight="1">
      <c r="A8" s="174"/>
      <c r="B8" s="109"/>
      <c r="C8" s="1325"/>
      <c r="D8" s="880" t="s">
        <v>469</v>
      </c>
      <c r="E8" s="909">
        <v>3264.1</v>
      </c>
      <c r="F8" s="909">
        <v>4433</v>
      </c>
      <c r="G8" s="909">
        <v>1181.7</v>
      </c>
      <c r="H8" s="909">
        <v>2369.5</v>
      </c>
      <c r="I8" s="909">
        <v>3580.3</v>
      </c>
      <c r="J8" s="1139">
        <v>4787.7</v>
      </c>
      <c r="K8" s="1224">
        <v>1219.4000000000001</v>
      </c>
      <c r="L8" s="863"/>
      <c r="M8" s="866"/>
      <c r="N8" s="867"/>
      <c r="O8" s="866"/>
      <c r="P8" s="866"/>
      <c r="Q8" s="867"/>
      <c r="R8" s="866"/>
      <c r="S8" s="866"/>
      <c r="T8" s="867"/>
      <c r="U8" s="866"/>
      <c r="V8" s="866"/>
      <c r="W8" s="867"/>
    </row>
    <row r="9" spans="1:24" ht="18.75" customHeight="1" thickBot="1">
      <c r="A9" s="174"/>
      <c r="B9" s="109"/>
      <c r="C9" s="1326"/>
      <c r="D9" s="881" t="s">
        <v>470</v>
      </c>
      <c r="E9" s="910">
        <v>237093.4</v>
      </c>
      <c r="F9" s="910">
        <v>240476.5</v>
      </c>
      <c r="G9" s="910">
        <v>253829.1</v>
      </c>
      <c r="H9" s="910">
        <v>255861.5</v>
      </c>
      <c r="I9" s="910">
        <v>256659.7</v>
      </c>
      <c r="J9" s="1140">
        <v>258402.9</v>
      </c>
      <c r="K9" s="1225">
        <v>259310.4</v>
      </c>
      <c r="L9" s="864"/>
      <c r="M9" s="866"/>
      <c r="N9" s="867"/>
      <c r="O9" s="866"/>
      <c r="P9" s="866"/>
      <c r="Q9" s="867"/>
      <c r="R9" s="866"/>
      <c r="S9" s="866"/>
      <c r="T9" s="867"/>
      <c r="U9" s="866"/>
      <c r="V9" s="866"/>
      <c r="W9" s="867"/>
    </row>
    <row r="10" spans="1:24" ht="18.75" customHeight="1" thickBot="1">
      <c r="A10" s="174"/>
      <c r="B10" s="109"/>
      <c r="C10" s="1324" t="s">
        <v>456</v>
      </c>
      <c r="D10" s="861" t="s">
        <v>455</v>
      </c>
      <c r="E10" s="908">
        <v>1.41E-2</v>
      </c>
      <c r="F10" s="908">
        <v>1.41E-2</v>
      </c>
      <c r="G10" s="908">
        <v>1.44E-2</v>
      </c>
      <c r="H10" s="908">
        <v>1.43E-2</v>
      </c>
      <c r="I10" s="908">
        <v>1.4200000000000001E-2</v>
      </c>
      <c r="J10" s="1138">
        <v>1.41E-2</v>
      </c>
      <c r="K10" s="1223">
        <v>1.44E-2</v>
      </c>
      <c r="L10" s="862"/>
      <c r="M10" s="866"/>
      <c r="N10" s="867"/>
      <c r="O10" s="866"/>
      <c r="P10" s="866"/>
      <c r="Q10" s="867"/>
      <c r="R10" s="866"/>
      <c r="S10" s="866"/>
      <c r="T10" s="867"/>
      <c r="U10" s="866"/>
      <c r="V10" s="866"/>
      <c r="W10" s="867"/>
    </row>
    <row r="11" spans="1:24" ht="18.75" customHeight="1">
      <c r="A11" s="174"/>
      <c r="B11" s="109"/>
      <c r="C11" s="1325"/>
      <c r="D11" s="880" t="s">
        <v>471</v>
      </c>
      <c r="E11" s="911">
        <v>2448.8000000000002</v>
      </c>
      <c r="F11" s="911">
        <v>3310.5</v>
      </c>
      <c r="G11" s="911">
        <v>884</v>
      </c>
      <c r="H11" s="911">
        <v>1768.8</v>
      </c>
      <c r="I11" s="911">
        <v>2659.3</v>
      </c>
      <c r="J11" s="1141">
        <v>3539.1</v>
      </c>
      <c r="K11" s="1226">
        <v>892.3</v>
      </c>
      <c r="L11" s="865"/>
      <c r="M11" s="866"/>
      <c r="N11" s="867"/>
      <c r="O11" s="866"/>
      <c r="P11" s="866"/>
      <c r="Q11" s="867"/>
      <c r="R11" s="866"/>
      <c r="S11" s="866"/>
      <c r="T11" s="867"/>
      <c r="U11" s="866"/>
      <c r="V11" s="866"/>
      <c r="W11" s="867"/>
    </row>
    <row r="12" spans="1:24" ht="18.75" customHeight="1" thickBot="1">
      <c r="A12" s="174"/>
      <c r="B12" s="109"/>
      <c r="C12" s="1326"/>
      <c r="D12" s="881" t="s">
        <v>472</v>
      </c>
      <c r="E12" s="910">
        <v>231402.4</v>
      </c>
      <c r="F12" s="910">
        <v>234626.4</v>
      </c>
      <c r="G12" s="910">
        <v>247442.2</v>
      </c>
      <c r="H12" s="910">
        <v>249356.6</v>
      </c>
      <c r="I12" s="910">
        <v>250033.9</v>
      </c>
      <c r="J12" s="1140">
        <v>251661.9</v>
      </c>
      <c r="K12" s="1225">
        <v>251987.20000000001</v>
      </c>
      <c r="L12" s="864"/>
      <c r="M12" s="866"/>
      <c r="N12" s="867"/>
      <c r="O12" s="866"/>
      <c r="P12" s="866"/>
      <c r="Q12" s="867"/>
      <c r="R12" s="866"/>
      <c r="S12" s="866"/>
      <c r="T12" s="867"/>
      <c r="U12" s="866"/>
      <c r="V12" s="866"/>
      <c r="W12" s="867"/>
    </row>
    <row r="13" spans="1:24" ht="18.75" customHeight="1" thickBot="1">
      <c r="A13" s="174"/>
      <c r="B13" s="109"/>
      <c r="C13" s="1324" t="s">
        <v>457</v>
      </c>
      <c r="D13" s="861" t="s">
        <v>455</v>
      </c>
      <c r="E13" s="908">
        <v>0.1915</v>
      </c>
      <c r="F13" s="908">
        <v>0.19189999999999999</v>
      </c>
      <c r="G13" s="908">
        <v>0.1875</v>
      </c>
      <c r="H13" s="908">
        <v>0.1857</v>
      </c>
      <c r="I13" s="908">
        <v>0.1857</v>
      </c>
      <c r="J13" s="1138">
        <v>0.1852</v>
      </c>
      <c r="K13" s="1223">
        <v>0.18110000000000001</v>
      </c>
      <c r="L13" s="862"/>
      <c r="M13" s="866"/>
      <c r="N13" s="867"/>
      <c r="O13" s="866"/>
      <c r="P13" s="866"/>
      <c r="Q13" s="867"/>
      <c r="R13" s="866"/>
      <c r="S13" s="866"/>
      <c r="T13" s="867"/>
      <c r="U13" s="866"/>
      <c r="V13" s="866"/>
      <c r="W13" s="867"/>
    </row>
    <row r="14" spans="1:24" ht="18.75" customHeight="1">
      <c r="A14" s="174"/>
      <c r="B14" s="109"/>
      <c r="C14" s="1325"/>
      <c r="D14" s="880" t="s">
        <v>471</v>
      </c>
      <c r="E14" s="911">
        <v>815.3</v>
      </c>
      <c r="F14" s="911">
        <v>1122.5</v>
      </c>
      <c r="G14" s="911">
        <v>297.7</v>
      </c>
      <c r="H14" s="911">
        <v>600.70000000000005</v>
      </c>
      <c r="I14" s="911">
        <v>921</v>
      </c>
      <c r="J14" s="1141">
        <v>1248.5999999999999</v>
      </c>
      <c r="K14" s="1226">
        <v>327.10000000000002</v>
      </c>
      <c r="L14" s="865"/>
      <c r="M14" s="866"/>
      <c r="N14" s="867"/>
      <c r="O14" s="866"/>
      <c r="P14" s="866"/>
      <c r="Q14" s="867"/>
      <c r="R14" s="866"/>
      <c r="S14" s="866"/>
      <c r="T14" s="867"/>
      <c r="U14" s="866"/>
      <c r="V14" s="866"/>
      <c r="W14" s="867"/>
    </row>
    <row r="15" spans="1:24" ht="18.75" customHeight="1" thickBot="1">
      <c r="A15" s="174"/>
      <c r="B15" s="109"/>
      <c r="C15" s="1326"/>
      <c r="D15" s="881" t="s">
        <v>472</v>
      </c>
      <c r="E15" s="912">
        <v>5691.1</v>
      </c>
      <c r="F15" s="912">
        <v>5850.1</v>
      </c>
      <c r="G15" s="912">
        <v>6386.9</v>
      </c>
      <c r="H15" s="912">
        <v>6504.9</v>
      </c>
      <c r="I15" s="912">
        <v>6625.7</v>
      </c>
      <c r="J15" s="1142">
        <v>6741</v>
      </c>
      <c r="K15" s="1227">
        <v>7323.3</v>
      </c>
      <c r="L15" s="252"/>
      <c r="M15" s="866"/>
      <c r="N15" s="867"/>
      <c r="O15" s="866"/>
      <c r="P15" s="866"/>
      <c r="Q15" s="867"/>
      <c r="R15" s="866"/>
      <c r="S15" s="866"/>
      <c r="T15" s="867"/>
      <c r="U15" s="866"/>
      <c r="V15" s="866"/>
      <c r="W15" s="867"/>
    </row>
    <row r="16" spans="1:24" ht="9.75" customHeight="1">
      <c r="A16" s="174"/>
      <c r="B16" s="109"/>
      <c r="C16" s="491"/>
      <c r="D16" s="868"/>
      <c r="E16" s="869"/>
      <c r="F16" s="869"/>
      <c r="G16" s="869"/>
      <c r="H16" s="869"/>
      <c r="I16" s="869"/>
      <c r="J16" s="869"/>
      <c r="K16" s="869"/>
      <c r="L16" s="868"/>
      <c r="M16" s="868"/>
      <c r="N16" s="869"/>
      <c r="O16" s="868"/>
      <c r="P16" s="868"/>
      <c r="Q16" s="869"/>
      <c r="R16" s="868"/>
      <c r="S16" s="868"/>
      <c r="T16" s="869"/>
      <c r="U16" s="868"/>
      <c r="V16" s="868"/>
      <c r="W16" s="869"/>
    </row>
    <row r="17" spans="1:23" ht="9.75" customHeight="1">
      <c r="A17" s="174"/>
      <c r="B17" s="109"/>
      <c r="C17" s="280"/>
      <c r="D17" s="868"/>
      <c r="E17" s="869"/>
      <c r="F17" s="869"/>
      <c r="G17" s="869"/>
      <c r="H17" s="869"/>
      <c r="I17" s="869"/>
      <c r="J17" s="869"/>
      <c r="K17" s="869"/>
      <c r="L17" s="868"/>
      <c r="M17" s="868"/>
      <c r="N17" s="869"/>
      <c r="O17" s="868"/>
      <c r="P17" s="868"/>
      <c r="Q17" s="869"/>
      <c r="R17" s="868"/>
      <c r="S17" s="868"/>
      <c r="T17" s="869"/>
      <c r="U17" s="868"/>
      <c r="V17" s="868"/>
      <c r="W17" s="869"/>
    </row>
    <row r="18" spans="1:23" ht="9.75" customHeight="1">
      <c r="A18" s="174"/>
      <c r="B18" s="109"/>
      <c r="C18" s="280"/>
      <c r="D18" s="868"/>
      <c r="E18" s="869"/>
      <c r="F18" s="869"/>
      <c r="G18" s="869"/>
      <c r="H18" s="869"/>
      <c r="I18" s="869"/>
      <c r="J18" s="869"/>
      <c r="K18" s="869"/>
      <c r="L18" s="868"/>
      <c r="M18" s="868"/>
      <c r="N18" s="869"/>
      <c r="O18" s="868"/>
      <c r="P18" s="868"/>
      <c r="Q18" s="869"/>
      <c r="R18" s="868"/>
      <c r="S18" s="868"/>
      <c r="T18" s="869"/>
      <c r="U18" s="868"/>
      <c r="V18" s="868"/>
      <c r="W18" s="869"/>
    </row>
    <row r="19" spans="1:23" ht="15.95" customHeight="1">
      <c r="A19" s="174"/>
      <c r="B19" s="109"/>
      <c r="C19" s="170" t="s">
        <v>458</v>
      </c>
      <c r="D19" s="870"/>
      <c r="E19" s="867"/>
      <c r="F19" s="867"/>
      <c r="G19" s="867"/>
      <c r="H19" s="867"/>
      <c r="I19" s="867"/>
      <c r="J19" s="867"/>
      <c r="K19" s="867"/>
      <c r="L19" s="870"/>
      <c r="M19" s="870"/>
      <c r="N19" s="867"/>
      <c r="O19" s="870"/>
      <c r="P19" s="870"/>
      <c r="Q19" s="867"/>
      <c r="R19" s="870"/>
      <c r="S19" s="870"/>
      <c r="T19" s="867"/>
      <c r="U19" s="870"/>
      <c r="V19" s="870"/>
      <c r="W19" s="867"/>
    </row>
    <row r="20" spans="1:23" ht="15.95" customHeight="1">
      <c r="A20" s="174"/>
      <c r="B20" s="109"/>
      <c r="C20" s="280"/>
      <c r="D20" s="870"/>
      <c r="E20" s="867"/>
      <c r="F20" s="867"/>
      <c r="G20" s="867"/>
      <c r="H20" s="867"/>
      <c r="I20" s="867"/>
      <c r="J20" s="867"/>
      <c r="K20" s="867"/>
      <c r="L20" s="870"/>
      <c r="M20" s="870"/>
      <c r="N20" s="867"/>
      <c r="O20" s="870"/>
      <c r="P20" s="870"/>
      <c r="Q20" s="867"/>
      <c r="R20" s="870"/>
      <c r="S20" s="870"/>
      <c r="T20" s="867"/>
      <c r="U20" s="870"/>
      <c r="V20" s="870"/>
      <c r="W20" s="867"/>
    </row>
    <row r="21" spans="1:23" ht="18.75" customHeight="1">
      <c r="A21" s="174"/>
      <c r="B21" s="109"/>
      <c r="C21" s="145"/>
      <c r="D21" s="145" t="s">
        <v>459</v>
      </c>
      <c r="E21" s="1059" t="s">
        <v>479</v>
      </c>
      <c r="F21" s="1059" t="s">
        <v>481</v>
      </c>
      <c r="G21" s="1059" t="s">
        <v>483</v>
      </c>
      <c r="H21" s="1059" t="s">
        <v>498</v>
      </c>
      <c r="I21" s="1059" t="s">
        <v>504</v>
      </c>
      <c r="J21" s="1059" t="s">
        <v>507</v>
      </c>
      <c r="K21" s="860" t="s">
        <v>532</v>
      </c>
      <c r="L21" s="146"/>
      <c r="M21" s="870"/>
      <c r="N21" s="867"/>
      <c r="O21" s="870"/>
      <c r="P21" s="870"/>
      <c r="Q21" s="867"/>
      <c r="R21" s="870"/>
      <c r="S21" s="870"/>
      <c r="T21" s="867"/>
      <c r="U21" s="870"/>
      <c r="V21" s="870"/>
      <c r="W21" s="867"/>
    </row>
    <row r="22" spans="1:23" ht="18.75" customHeight="1" thickBot="1">
      <c r="A22" s="174"/>
      <c r="B22" s="109"/>
      <c r="C22" s="1327" t="s">
        <v>460</v>
      </c>
      <c r="D22" s="861" t="s">
        <v>461</v>
      </c>
      <c r="E22" s="908">
        <v>1.8100000000000002E-2</v>
      </c>
      <c r="F22" s="908">
        <v>1.8499999999999999E-2</v>
      </c>
      <c r="G22" s="908">
        <v>1.8700000000000001E-2</v>
      </c>
      <c r="H22" s="908">
        <v>1.8499999999999999E-2</v>
      </c>
      <c r="I22" s="908">
        <v>1.8700000000000001E-2</v>
      </c>
      <c r="J22" s="1138">
        <v>1.83E-2</v>
      </c>
      <c r="K22" s="1223">
        <v>1.9099999999999999E-2</v>
      </c>
      <c r="L22" s="862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</row>
    <row r="23" spans="1:23" ht="18.75" customHeight="1">
      <c r="A23" s="174"/>
      <c r="B23" s="109"/>
      <c r="C23" s="1325"/>
      <c r="D23" s="880" t="s">
        <v>469</v>
      </c>
      <c r="E23" s="909">
        <v>1124.5999999999999</v>
      </c>
      <c r="F23" s="909">
        <v>1168.9000000000001</v>
      </c>
      <c r="G23" s="909">
        <v>1181.7</v>
      </c>
      <c r="H23" s="909">
        <v>1187.8</v>
      </c>
      <c r="I23" s="909">
        <v>1210.7</v>
      </c>
      <c r="J23" s="1139">
        <v>1207.4000000000001</v>
      </c>
      <c r="K23" s="1224">
        <v>1219.4000000000001</v>
      </c>
      <c r="L23" s="863"/>
      <c r="M23" s="875"/>
      <c r="N23" s="875"/>
      <c r="O23" s="875"/>
      <c r="P23" s="875"/>
      <c r="Q23" s="875"/>
      <c r="R23" s="875"/>
      <c r="S23" s="875"/>
      <c r="T23" s="875"/>
      <c r="U23" s="875"/>
      <c r="V23" s="875"/>
      <c r="W23" s="875"/>
    </row>
    <row r="24" spans="1:23" ht="18.75" customHeight="1" thickBot="1">
      <c r="A24" s="174"/>
      <c r="B24" s="109"/>
      <c r="C24" s="1326"/>
      <c r="D24" s="881" t="s">
        <v>470</v>
      </c>
      <c r="E24" s="910">
        <v>246047</v>
      </c>
      <c r="F24" s="910">
        <v>250515.5</v>
      </c>
      <c r="G24" s="910">
        <v>253829.1</v>
      </c>
      <c r="H24" s="910">
        <v>257893.9</v>
      </c>
      <c r="I24" s="910">
        <v>258238.7</v>
      </c>
      <c r="J24" s="1140">
        <v>263594.8</v>
      </c>
      <c r="K24" s="1225">
        <v>259310.4</v>
      </c>
      <c r="L24" s="864"/>
      <c r="M24" s="878"/>
      <c r="N24" s="878"/>
      <c r="O24" s="1328"/>
      <c r="P24" s="1328"/>
      <c r="Q24" s="1328"/>
      <c r="R24" s="1328"/>
      <c r="S24" s="1328"/>
      <c r="T24" s="1328"/>
      <c r="U24" s="1328"/>
      <c r="V24" s="1328"/>
      <c r="W24" s="1328"/>
    </row>
    <row r="25" spans="1:23" ht="18.75" customHeight="1" thickBot="1">
      <c r="A25" s="174"/>
      <c r="B25" s="109"/>
      <c r="C25" s="1324" t="s">
        <v>462</v>
      </c>
      <c r="D25" s="861" t="s">
        <v>461</v>
      </c>
      <c r="E25" s="908">
        <v>1.38E-2</v>
      </c>
      <c r="F25" s="908">
        <v>1.4E-2</v>
      </c>
      <c r="G25" s="908">
        <v>1.44E-2</v>
      </c>
      <c r="H25" s="908">
        <v>1.4200000000000001E-2</v>
      </c>
      <c r="I25" s="908">
        <v>1.41E-2</v>
      </c>
      <c r="J25" s="1138">
        <v>1.37E-2</v>
      </c>
      <c r="K25" s="1223">
        <v>1.44E-2</v>
      </c>
      <c r="L25" s="862"/>
      <c r="M25" s="874"/>
      <c r="N25" s="874"/>
      <c r="O25" s="874"/>
      <c r="P25" s="874"/>
      <c r="Q25" s="874"/>
      <c r="R25" s="874"/>
      <c r="S25" s="874"/>
      <c r="T25" s="874"/>
      <c r="U25" s="874"/>
      <c r="V25" s="874"/>
      <c r="W25" s="874"/>
    </row>
    <row r="26" spans="1:23" ht="18.75" customHeight="1">
      <c r="A26" s="174"/>
      <c r="B26" s="109"/>
      <c r="C26" s="1325"/>
      <c r="D26" s="880" t="s">
        <v>471</v>
      </c>
      <c r="E26" s="911">
        <v>834.7</v>
      </c>
      <c r="F26" s="911">
        <v>861.7</v>
      </c>
      <c r="G26" s="911">
        <v>884</v>
      </c>
      <c r="H26" s="911">
        <v>884.8</v>
      </c>
      <c r="I26" s="911">
        <v>890.5</v>
      </c>
      <c r="J26" s="1141">
        <v>879.8</v>
      </c>
      <c r="K26" s="1226">
        <v>892.3</v>
      </c>
      <c r="L26" s="865"/>
      <c r="M26" s="866"/>
      <c r="N26" s="867"/>
      <c r="O26" s="866"/>
      <c r="P26" s="866"/>
      <c r="Q26" s="867"/>
      <c r="R26" s="866"/>
      <c r="S26" s="866"/>
      <c r="T26" s="867"/>
      <c r="U26" s="866"/>
      <c r="V26" s="866"/>
      <c r="W26" s="867"/>
    </row>
    <row r="27" spans="1:23" ht="18.75" customHeight="1" thickBot="1">
      <c r="A27" s="174"/>
      <c r="B27" s="109"/>
      <c r="C27" s="1326"/>
      <c r="D27" s="881" t="s">
        <v>472</v>
      </c>
      <c r="E27" s="910">
        <v>240042.4</v>
      </c>
      <c r="F27" s="910">
        <v>244193.6</v>
      </c>
      <c r="G27" s="910">
        <v>247442.2</v>
      </c>
      <c r="H27" s="910">
        <v>251271.1</v>
      </c>
      <c r="I27" s="910">
        <v>251373.8</v>
      </c>
      <c r="J27" s="1140">
        <v>256510.6</v>
      </c>
      <c r="K27" s="1225">
        <v>251987.20000000001</v>
      </c>
      <c r="L27" s="864"/>
      <c r="M27" s="866"/>
      <c r="N27" s="867"/>
      <c r="O27" s="866"/>
      <c r="P27" s="866"/>
      <c r="Q27" s="867"/>
      <c r="R27" s="866"/>
      <c r="S27" s="866"/>
      <c r="T27" s="867"/>
      <c r="U27" s="866"/>
      <c r="V27" s="866"/>
      <c r="W27" s="867"/>
    </row>
    <row r="28" spans="1:23" ht="18.75" customHeight="1" thickBot="1">
      <c r="A28" s="174"/>
      <c r="B28" s="109"/>
      <c r="C28" s="1324" t="s">
        <v>463</v>
      </c>
      <c r="D28" s="861" t="s">
        <v>461</v>
      </c>
      <c r="E28" s="908">
        <v>0.19159999999999999</v>
      </c>
      <c r="F28" s="908">
        <v>0.1928</v>
      </c>
      <c r="G28" s="908">
        <v>0.1875</v>
      </c>
      <c r="H28" s="908">
        <v>0.184</v>
      </c>
      <c r="I28" s="908">
        <v>0.18559999999999999</v>
      </c>
      <c r="J28" s="1138">
        <v>0.185</v>
      </c>
      <c r="K28" s="1223">
        <v>0.18110000000000001</v>
      </c>
      <c r="L28" s="862"/>
      <c r="M28" s="866"/>
      <c r="N28" s="867"/>
      <c r="O28" s="866"/>
      <c r="P28" s="866"/>
      <c r="Q28" s="867"/>
      <c r="R28" s="866"/>
      <c r="S28" s="866"/>
      <c r="T28" s="867"/>
      <c r="U28" s="866"/>
      <c r="V28" s="866"/>
      <c r="W28" s="867"/>
    </row>
    <row r="29" spans="1:23" ht="18.75" customHeight="1">
      <c r="A29" s="174"/>
      <c r="B29" s="109"/>
      <c r="C29" s="1325"/>
      <c r="D29" s="880" t="s">
        <v>471</v>
      </c>
      <c r="E29" s="911">
        <v>289.89999999999998</v>
      </c>
      <c r="F29" s="911">
        <v>307.2</v>
      </c>
      <c r="G29" s="911">
        <v>297.7</v>
      </c>
      <c r="H29" s="911">
        <v>303</v>
      </c>
      <c r="I29" s="911">
        <v>320.3</v>
      </c>
      <c r="J29" s="1141">
        <v>327</v>
      </c>
      <c r="K29" s="1226">
        <v>327.10000000000002</v>
      </c>
      <c r="L29" s="865"/>
      <c r="M29" s="866"/>
      <c r="N29" s="867"/>
      <c r="O29" s="866"/>
      <c r="P29" s="866"/>
      <c r="Q29" s="867"/>
      <c r="R29" s="866"/>
      <c r="S29" s="866"/>
      <c r="T29" s="867"/>
      <c r="U29" s="866"/>
      <c r="V29" s="866"/>
      <c r="W29" s="867"/>
    </row>
    <row r="30" spans="1:23" ht="18.75" customHeight="1" thickBot="1">
      <c r="A30" s="174"/>
      <c r="B30" s="109"/>
      <c r="C30" s="1326"/>
      <c r="D30" s="881" t="s">
        <v>472</v>
      </c>
      <c r="E30" s="912">
        <v>6004.6</v>
      </c>
      <c r="F30" s="912">
        <v>6322</v>
      </c>
      <c r="G30" s="912">
        <v>6386.9</v>
      </c>
      <c r="H30" s="912">
        <v>6622.8</v>
      </c>
      <c r="I30" s="912">
        <v>6864.9</v>
      </c>
      <c r="J30" s="1142">
        <v>7084.2</v>
      </c>
      <c r="K30" s="1227">
        <v>7323.3</v>
      </c>
      <c r="L30" s="252"/>
      <c r="M30" s="866"/>
      <c r="N30" s="867"/>
      <c r="O30" s="866"/>
      <c r="P30" s="866"/>
      <c r="Q30" s="867"/>
      <c r="R30" s="866"/>
      <c r="S30" s="866"/>
      <c r="T30" s="867"/>
      <c r="U30" s="866"/>
      <c r="V30" s="866"/>
      <c r="W30" s="867"/>
    </row>
    <row r="31" spans="1:23" ht="15.95" customHeight="1">
      <c r="A31" s="174"/>
      <c r="B31" s="109"/>
      <c r="C31" s="491"/>
      <c r="D31" s="866"/>
      <c r="E31" s="867"/>
      <c r="F31" s="867"/>
      <c r="G31" s="867"/>
      <c r="H31" s="867"/>
      <c r="I31" s="867"/>
      <c r="J31" s="867"/>
      <c r="K31" s="867"/>
      <c r="L31" s="866"/>
      <c r="M31" s="866"/>
      <c r="N31" s="867"/>
      <c r="O31" s="866"/>
      <c r="P31" s="866"/>
      <c r="Q31" s="867"/>
      <c r="R31" s="866"/>
      <c r="S31" s="866"/>
      <c r="T31" s="867"/>
      <c r="U31" s="866"/>
      <c r="V31" s="866"/>
      <c r="W31" s="867"/>
    </row>
    <row r="32" spans="1:23" ht="15.95" customHeight="1">
      <c r="A32" s="174"/>
      <c r="B32" s="109"/>
      <c r="C32" s="491"/>
      <c r="D32" s="866"/>
      <c r="E32" s="867"/>
      <c r="F32" s="867"/>
      <c r="G32" s="867"/>
      <c r="H32" s="867"/>
      <c r="I32" s="867"/>
      <c r="J32" s="867"/>
      <c r="K32" s="867"/>
      <c r="L32" s="866"/>
      <c r="M32" s="866"/>
      <c r="N32" s="867"/>
      <c r="O32" s="866"/>
      <c r="P32" s="866"/>
      <c r="Q32" s="867"/>
      <c r="R32" s="866"/>
      <c r="S32" s="866"/>
      <c r="T32" s="867"/>
      <c r="U32" s="866"/>
      <c r="V32" s="866"/>
      <c r="W32" s="867"/>
    </row>
    <row r="33" spans="1:23" ht="15.95" customHeight="1">
      <c r="A33" s="174"/>
      <c r="B33" s="109"/>
      <c r="C33" s="491"/>
      <c r="D33" s="866"/>
      <c r="E33" s="867"/>
      <c r="F33" s="867"/>
      <c r="G33" s="867"/>
      <c r="H33" s="867"/>
      <c r="I33" s="867"/>
      <c r="J33" s="867"/>
      <c r="K33" s="867"/>
      <c r="L33" s="866"/>
      <c r="M33" s="866"/>
      <c r="N33" s="867"/>
      <c r="O33" s="866"/>
      <c r="P33" s="866"/>
      <c r="Q33" s="867"/>
      <c r="R33" s="866"/>
      <c r="S33" s="866"/>
      <c r="T33" s="867"/>
      <c r="U33" s="866"/>
      <c r="V33" s="866"/>
      <c r="W33" s="867"/>
    </row>
    <row r="34" spans="1:23" ht="15.95" customHeight="1">
      <c r="A34" s="174"/>
      <c r="B34" s="109"/>
      <c r="C34" s="491"/>
      <c r="D34" s="866"/>
      <c r="E34" s="867"/>
      <c r="F34" s="867"/>
      <c r="G34" s="867"/>
      <c r="H34" s="867"/>
      <c r="I34" s="867"/>
      <c r="J34" s="867"/>
      <c r="K34" s="867"/>
      <c r="L34" s="866"/>
      <c r="M34" s="866"/>
      <c r="N34" s="867"/>
      <c r="O34" s="866"/>
      <c r="P34" s="866"/>
      <c r="Q34" s="867"/>
      <c r="R34" s="866"/>
      <c r="S34" s="866"/>
      <c r="T34" s="867"/>
      <c r="U34" s="866"/>
      <c r="V34" s="866"/>
      <c r="W34" s="867"/>
    </row>
    <row r="35" spans="1:23" ht="15.95" customHeight="1">
      <c r="A35" s="174"/>
      <c r="B35" s="109"/>
      <c r="C35" s="491"/>
      <c r="D35" s="866"/>
      <c r="E35" s="867"/>
      <c r="F35" s="867"/>
      <c r="G35" s="867"/>
      <c r="H35" s="867"/>
      <c r="I35" s="1049"/>
      <c r="J35" s="867"/>
      <c r="K35" s="867"/>
      <c r="L35" s="866"/>
      <c r="M35" s="866"/>
      <c r="N35" s="867"/>
      <c r="O35" s="866"/>
      <c r="P35" s="866"/>
      <c r="Q35" s="867"/>
      <c r="R35" s="866"/>
      <c r="S35" s="866"/>
      <c r="T35" s="867"/>
      <c r="U35" s="866"/>
      <c r="V35" s="866"/>
      <c r="W35" s="867"/>
    </row>
    <row r="36" spans="1:23" ht="15.95" customHeight="1">
      <c r="A36" s="174"/>
      <c r="B36" s="109"/>
      <c r="C36" s="491"/>
      <c r="D36" s="868"/>
      <c r="E36" s="869"/>
      <c r="F36" s="869"/>
      <c r="G36" s="869"/>
      <c r="H36" s="869"/>
      <c r="I36" s="869"/>
      <c r="J36" s="869"/>
      <c r="K36" s="869"/>
      <c r="L36" s="868"/>
      <c r="M36" s="868"/>
      <c r="N36" s="869"/>
      <c r="O36" s="868"/>
      <c r="P36" s="868"/>
      <c r="Q36" s="869"/>
      <c r="R36" s="868"/>
      <c r="S36" s="868"/>
      <c r="T36" s="869"/>
      <c r="U36" s="868"/>
      <c r="V36" s="868"/>
      <c r="W36" s="869"/>
    </row>
    <row r="37" spans="1:23" ht="15.95" customHeight="1">
      <c r="A37" s="174"/>
      <c r="B37" s="109"/>
      <c r="C37" s="280"/>
      <c r="D37" s="868"/>
      <c r="E37" s="869"/>
      <c r="F37" s="869"/>
      <c r="G37" s="869"/>
      <c r="H37" s="869"/>
      <c r="I37" s="869"/>
      <c r="J37" s="869"/>
      <c r="K37" s="869"/>
      <c r="L37" s="868"/>
      <c r="M37" s="868"/>
      <c r="N37" s="869"/>
      <c r="O37" s="868"/>
      <c r="P37" s="868"/>
      <c r="Q37" s="869"/>
      <c r="R37" s="868"/>
      <c r="S37" s="868"/>
      <c r="T37" s="869"/>
      <c r="U37" s="868"/>
      <c r="V37" s="868"/>
      <c r="W37" s="869"/>
    </row>
    <row r="38" spans="1:23" ht="15.95" customHeight="1">
      <c r="A38" s="174"/>
      <c r="B38" s="109"/>
      <c r="C38" s="280"/>
      <c r="D38" s="868"/>
      <c r="E38" s="869"/>
      <c r="F38" s="869"/>
      <c r="G38" s="869"/>
      <c r="H38" s="869"/>
      <c r="I38" s="869"/>
      <c r="J38" s="869"/>
      <c r="K38" s="869"/>
      <c r="L38" s="868"/>
      <c r="M38" s="868"/>
      <c r="N38" s="869"/>
      <c r="O38" s="868"/>
      <c r="P38" s="868"/>
      <c r="Q38" s="869"/>
      <c r="R38" s="868"/>
      <c r="S38" s="868"/>
      <c r="T38" s="869"/>
      <c r="U38" s="868"/>
      <c r="V38" s="868"/>
      <c r="W38" s="869"/>
    </row>
    <row r="39" spans="1:23" ht="15.95" customHeight="1">
      <c r="A39" s="174"/>
      <c r="B39" s="109"/>
      <c r="C39" s="280"/>
      <c r="D39" s="870"/>
      <c r="E39" s="867"/>
      <c r="F39" s="867"/>
      <c r="G39" s="867"/>
      <c r="H39" s="867"/>
      <c r="I39" s="867"/>
      <c r="J39" s="867"/>
      <c r="K39" s="867"/>
      <c r="L39" s="870"/>
      <c r="M39" s="870"/>
      <c r="N39" s="867"/>
      <c r="O39" s="870"/>
      <c r="P39" s="870"/>
      <c r="Q39" s="867"/>
      <c r="R39" s="870"/>
      <c r="S39" s="870"/>
      <c r="T39" s="867"/>
      <c r="U39" s="870"/>
      <c r="V39" s="870"/>
      <c r="W39" s="867"/>
    </row>
    <row r="40" spans="1:23" ht="15.95" customHeight="1">
      <c r="A40" s="174"/>
      <c r="B40" s="109"/>
      <c r="C40" s="280"/>
      <c r="D40" s="870"/>
      <c r="E40" s="867"/>
      <c r="F40" s="867"/>
      <c r="G40" s="867"/>
      <c r="H40" s="867"/>
      <c r="I40" s="867"/>
      <c r="J40" s="867"/>
      <c r="K40" s="867"/>
      <c r="L40" s="870"/>
      <c r="M40" s="870"/>
      <c r="N40" s="867"/>
      <c r="O40" s="870"/>
      <c r="P40" s="870"/>
      <c r="Q40" s="867"/>
      <c r="R40" s="870"/>
      <c r="S40" s="870"/>
      <c r="T40" s="867"/>
      <c r="U40" s="870"/>
      <c r="V40" s="870"/>
      <c r="W40" s="867"/>
    </row>
    <row r="41" spans="1:23" ht="15.95" customHeight="1">
      <c r="A41" s="174"/>
      <c r="B41" s="109"/>
      <c r="C41" s="491"/>
      <c r="D41" s="870"/>
      <c r="E41" s="871"/>
      <c r="F41" s="871"/>
      <c r="G41" s="871"/>
      <c r="H41" s="871"/>
      <c r="I41" s="871"/>
      <c r="J41" s="871"/>
      <c r="K41" s="871"/>
      <c r="L41" s="870"/>
      <c r="M41" s="870"/>
      <c r="N41" s="871"/>
      <c r="O41" s="870"/>
      <c r="P41" s="870"/>
      <c r="Q41" s="871"/>
      <c r="R41" s="870"/>
      <c r="S41" s="870"/>
      <c r="T41" s="871"/>
      <c r="U41" s="870"/>
      <c r="V41" s="870"/>
      <c r="W41" s="871"/>
    </row>
    <row r="42" spans="1:23" ht="9" customHeight="1">
      <c r="A42" s="174"/>
      <c r="B42" s="109"/>
      <c r="C42" s="49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</row>
    <row r="43" spans="1:23">
      <c r="A43" s="189"/>
      <c r="B43" s="190"/>
      <c r="C43" s="280"/>
      <c r="D43" s="876"/>
      <c r="E43" s="876"/>
      <c r="F43" s="876"/>
      <c r="G43" s="876"/>
      <c r="H43" s="876"/>
      <c r="I43" s="876"/>
      <c r="J43" s="876"/>
      <c r="K43" s="876"/>
      <c r="L43" s="876"/>
      <c r="M43" s="876"/>
      <c r="N43" s="876"/>
      <c r="O43" s="876"/>
      <c r="P43" s="876"/>
      <c r="Q43" s="876"/>
      <c r="R43" s="876"/>
      <c r="S43" s="876"/>
      <c r="T43" s="876"/>
      <c r="U43" s="876"/>
      <c r="V43" s="876"/>
      <c r="W43" s="876"/>
    </row>
    <row r="44" spans="1:23">
      <c r="A44" s="189"/>
      <c r="B44" s="190"/>
      <c r="C44" s="4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</row>
    <row r="45" spans="1:23">
      <c r="A45" s="189"/>
      <c r="B45" s="190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</row>
    <row r="46" spans="1:23">
      <c r="A46" s="190"/>
      <c r="B46" s="190"/>
      <c r="C46" s="200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</row>
    <row r="47" spans="1:23">
      <c r="A47" s="190"/>
      <c r="B47" s="190"/>
      <c r="C47" s="200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</row>
    <row r="48" spans="1:23">
      <c r="A48" s="190"/>
      <c r="B48" s="190"/>
      <c r="C48" s="444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</row>
    <row r="49" spans="1:23">
      <c r="A49" s="190"/>
      <c r="B49" s="190"/>
      <c r="C49" s="200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</row>
    <row r="50" spans="1:23">
      <c r="A50" s="190"/>
      <c r="B50" s="190"/>
      <c r="C50" s="200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</row>
    <row r="51" spans="1:23">
      <c r="A51" s="190"/>
      <c r="B51" s="190"/>
      <c r="C51" s="200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</row>
    <row r="52" spans="1:23">
      <c r="A52" s="190"/>
      <c r="B52" s="190"/>
      <c r="C52" s="444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</row>
    <row r="53" spans="1:23">
      <c r="A53" s="190"/>
      <c r="B53" s="190"/>
      <c r="C53" s="200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</row>
    <row r="54" spans="1:23">
      <c r="A54" s="190"/>
      <c r="B54" s="190"/>
      <c r="C54" s="200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</row>
    <row r="55" spans="1:23">
      <c r="A55" s="190"/>
      <c r="B55" s="190"/>
      <c r="C55" s="200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</row>
    <row r="56" spans="1:23">
      <c r="A56" s="190"/>
      <c r="B56" s="190"/>
      <c r="C56" s="202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</row>
    <row r="57" spans="1:23">
      <c r="A57" s="190"/>
      <c r="B57" s="190"/>
      <c r="C57" s="445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</row>
    <row r="58" spans="1:23">
      <c r="A58" s="190"/>
      <c r="B58" s="190"/>
      <c r="C58" s="445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</row>
    <row r="59" spans="1:23">
      <c r="A59" s="27"/>
      <c r="B59" s="27"/>
      <c r="C59" s="445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</row>
    <row r="60" spans="1:2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</row>
    <row r="61" spans="1:23" ht="19.5">
      <c r="A61" s="27"/>
      <c r="B61" s="27"/>
      <c r="C61" s="205"/>
      <c r="D61" s="205"/>
      <c r="E61" s="205"/>
      <c r="F61" s="205"/>
      <c r="G61" s="205"/>
      <c r="H61" s="205"/>
      <c r="I61" s="205"/>
      <c r="J61" s="941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V61" s="205"/>
      <c r="W61" s="205"/>
    </row>
    <row r="62" spans="1:2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</row>
    <row r="63" spans="1:2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</row>
    <row r="64" spans="1:23" ht="18">
      <c r="A64" s="27"/>
      <c r="B64" s="27"/>
      <c r="C64" s="206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</row>
    <row r="65" spans="1:23" ht="15.75">
      <c r="A65" s="27"/>
      <c r="B65" s="27"/>
      <c r="C65" s="446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</row>
    <row r="66" spans="1:23">
      <c r="A66" s="190"/>
      <c r="B66" s="190"/>
      <c r="C66" s="210"/>
      <c r="D66" s="442"/>
      <c r="E66" s="442"/>
      <c r="F66" s="442"/>
      <c r="G66" s="442"/>
      <c r="H66" s="442"/>
      <c r="I66" s="442"/>
      <c r="J66" s="442"/>
      <c r="K66" s="442"/>
      <c r="L66" s="442"/>
      <c r="M66" s="442"/>
      <c r="N66" s="442"/>
      <c r="O66" s="442"/>
      <c r="P66" s="442"/>
      <c r="Q66" s="442"/>
      <c r="R66" s="442"/>
      <c r="S66" s="442"/>
      <c r="T66" s="442"/>
      <c r="U66" s="442"/>
      <c r="V66" s="442"/>
      <c r="W66" s="442"/>
    </row>
    <row r="67" spans="1:23">
      <c r="A67" s="190"/>
      <c r="B67" s="190"/>
      <c r="C67" s="44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</row>
    <row r="68" spans="1:23">
      <c r="A68" s="190"/>
      <c r="B68" s="190"/>
      <c r="C68" s="200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</row>
    <row r="69" spans="1:23">
      <c r="A69" s="190"/>
      <c r="B69" s="190"/>
      <c r="C69" s="200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</row>
    <row r="70" spans="1:23">
      <c r="A70" s="190"/>
      <c r="B70" s="190"/>
      <c r="C70" s="200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</row>
    <row r="71" spans="1:23">
      <c r="A71" s="190"/>
      <c r="B71" s="190"/>
      <c r="C71" s="200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</row>
    <row r="72" spans="1:23">
      <c r="A72" s="190"/>
      <c r="B72" s="190"/>
      <c r="C72" s="200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</row>
    <row r="73" spans="1:23">
      <c r="A73" s="190"/>
      <c r="B73" s="190"/>
      <c r="C73" s="444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</row>
    <row r="74" spans="1:23">
      <c r="A74" s="190"/>
      <c r="B74" s="190"/>
      <c r="C74" s="200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</row>
    <row r="75" spans="1:23">
      <c r="A75" s="190"/>
      <c r="B75" s="190"/>
      <c r="C75" s="200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</row>
    <row r="76" spans="1:23">
      <c r="A76" s="190"/>
      <c r="B76" s="190"/>
      <c r="C76" s="200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</row>
    <row r="77" spans="1:23">
      <c r="A77" s="190"/>
      <c r="B77" s="190"/>
      <c r="C77" s="444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</row>
    <row r="78" spans="1:23">
      <c r="A78" s="190"/>
      <c r="B78" s="190"/>
      <c r="C78" s="200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</row>
    <row r="79" spans="1:23">
      <c r="A79" s="190"/>
      <c r="B79" s="190"/>
      <c r="C79" s="200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</row>
    <row r="80" spans="1:23">
      <c r="A80" s="190"/>
      <c r="B80" s="190"/>
      <c r="C80" s="200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</row>
    <row r="81" spans="1:23">
      <c r="A81" s="190"/>
      <c r="B81" s="190"/>
      <c r="C81" s="200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</row>
    <row r="82" spans="1:23">
      <c r="A82" s="190"/>
      <c r="B82" s="190"/>
      <c r="C82" s="200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</row>
    <row r="83" spans="1:23">
      <c r="A83" s="190"/>
      <c r="B83" s="190"/>
      <c r="C83" s="202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</row>
    <row r="84" spans="1:23" ht="15.75">
      <c r="A84" s="27"/>
      <c r="B84" s="27"/>
      <c r="C84" s="446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</row>
    <row r="85" spans="1:23">
      <c r="A85" s="190"/>
      <c r="B85" s="190"/>
      <c r="C85" s="210"/>
      <c r="D85" s="442"/>
      <c r="E85" s="442"/>
      <c r="F85" s="442"/>
      <c r="G85" s="442"/>
      <c r="H85" s="442"/>
      <c r="I85" s="442"/>
      <c r="J85" s="442"/>
      <c r="K85" s="442"/>
      <c r="L85" s="442"/>
      <c r="M85" s="442"/>
      <c r="N85" s="442"/>
      <c r="O85" s="442"/>
      <c r="P85" s="442"/>
      <c r="Q85" s="442"/>
      <c r="R85" s="442"/>
      <c r="S85" s="442"/>
      <c r="T85" s="442"/>
      <c r="U85" s="442"/>
      <c r="V85" s="442"/>
      <c r="W85" s="442"/>
    </row>
    <row r="86" spans="1:23">
      <c r="A86" s="190"/>
      <c r="B86" s="190"/>
      <c r="C86" s="44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</row>
    <row r="87" spans="1:23">
      <c r="A87" s="190"/>
      <c r="B87" s="190"/>
      <c r="C87" s="200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</row>
    <row r="88" spans="1:23">
      <c r="A88" s="190"/>
      <c r="B88" s="190"/>
      <c r="C88" s="200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</row>
    <row r="89" spans="1:23">
      <c r="A89" s="190"/>
      <c r="B89" s="190"/>
      <c r="C89" s="200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</row>
    <row r="90" spans="1:23">
      <c r="A90" s="190"/>
      <c r="B90" s="190"/>
      <c r="C90" s="200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</row>
    <row r="91" spans="1:23">
      <c r="A91" s="190"/>
      <c r="B91" s="190"/>
      <c r="C91" s="200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</row>
    <row r="92" spans="1:23">
      <c r="A92" s="190"/>
      <c r="B92" s="190"/>
      <c r="C92" s="444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</row>
    <row r="93" spans="1:23">
      <c r="A93" s="190"/>
      <c r="B93" s="190"/>
      <c r="C93" s="200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</row>
    <row r="94" spans="1:23">
      <c r="A94" s="190"/>
      <c r="B94" s="190"/>
      <c r="C94" s="200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</row>
    <row r="95" spans="1:23">
      <c r="A95" s="190"/>
      <c r="B95" s="190"/>
      <c r="C95" s="200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</row>
    <row r="96" spans="1:23">
      <c r="A96" s="190"/>
      <c r="B96" s="190"/>
      <c r="C96" s="444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</row>
    <row r="97" spans="1:23">
      <c r="A97" s="190"/>
      <c r="B97" s="190"/>
      <c r="C97" s="200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</row>
    <row r="98" spans="1:23">
      <c r="A98" s="190"/>
      <c r="B98" s="190"/>
      <c r="C98" s="200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</row>
    <row r="99" spans="1:23">
      <c r="A99" s="190"/>
      <c r="B99" s="190"/>
      <c r="C99" s="200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</row>
    <row r="100" spans="1:23">
      <c r="A100" s="190"/>
      <c r="B100" s="190"/>
      <c r="C100" s="202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</row>
    <row r="101" spans="1:23">
      <c r="A101" s="190"/>
      <c r="B101" s="190"/>
      <c r="C101" s="445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</row>
    <row r="102" spans="1:23">
      <c r="A102" s="190"/>
      <c r="B102" s="190"/>
      <c r="C102" s="445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</row>
    <row r="103" spans="1:23">
      <c r="A103" s="27"/>
      <c r="B103" s="27"/>
      <c r="C103" s="445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</row>
    <row r="104" spans="1:2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</row>
    <row r="105" spans="1:2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</row>
  </sheetData>
  <mergeCells count="14">
    <mergeCell ref="O24:Q24"/>
    <mergeCell ref="R24:T24"/>
    <mergeCell ref="U24:W24"/>
    <mergeCell ref="E4:K4"/>
    <mergeCell ref="L4:N4"/>
    <mergeCell ref="O4:Q4"/>
    <mergeCell ref="R4:T4"/>
    <mergeCell ref="U4:W4"/>
    <mergeCell ref="C28:C30"/>
    <mergeCell ref="C7:C9"/>
    <mergeCell ref="C10:C12"/>
    <mergeCell ref="C13:C15"/>
    <mergeCell ref="C22:C24"/>
    <mergeCell ref="C25:C27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verticalDpi="0" r:id="rId1"/>
  <headerFooter>
    <oddHeader>&amp;R&amp;"Trebuchet MS,보통"&amp;12
www.wooribank.com</oddHeader>
    <oddFooter>&amp;R&amp;"Trebuchet MS,보통"Page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5"/>
  <sheetViews>
    <sheetView showGridLines="0" view="pageBreakPreview" topLeftCell="C1" zoomScale="85" zoomScaleNormal="85" zoomScaleSheetLayoutView="85" workbookViewId="0">
      <selection activeCell="U40" sqref="U40"/>
    </sheetView>
  </sheetViews>
  <sheetFormatPr defaultRowHeight="15"/>
  <cols>
    <col min="1" max="1" width="18.7109375" style="77" customWidth="1"/>
    <col min="2" max="2" width="3.85546875" style="77" customWidth="1"/>
    <col min="3" max="3" width="27.28515625" style="77" customWidth="1"/>
    <col min="4" max="27" width="8.140625" style="77" customWidth="1"/>
    <col min="28" max="16384" width="9.140625" style="77"/>
  </cols>
  <sheetData>
    <row r="1" spans="1:25" ht="30" customHeight="1">
      <c r="A1" s="827"/>
      <c r="B1" s="168"/>
      <c r="C1" s="334" t="s">
        <v>484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168"/>
    </row>
    <row r="2" spans="1:25">
      <c r="A2" s="169"/>
    </row>
    <row r="3" spans="1:25" ht="17.25">
      <c r="A3" s="169"/>
      <c r="C3" s="170" t="s">
        <v>417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</row>
    <row r="4" spans="1:25">
      <c r="A4" s="169"/>
      <c r="C4" s="239"/>
      <c r="D4" s="1329" t="s">
        <v>479</v>
      </c>
      <c r="E4" s="1330"/>
      <c r="F4" s="1331"/>
      <c r="G4" s="1329" t="s">
        <v>482</v>
      </c>
      <c r="H4" s="1330"/>
      <c r="I4" s="1331"/>
      <c r="J4" s="1329" t="s">
        <v>483</v>
      </c>
      <c r="K4" s="1330"/>
      <c r="L4" s="1331"/>
      <c r="M4" s="1329" t="s">
        <v>499</v>
      </c>
      <c r="N4" s="1330"/>
      <c r="O4" s="1331"/>
      <c r="P4" s="1329" t="s">
        <v>504</v>
      </c>
      <c r="Q4" s="1330"/>
      <c r="R4" s="1331"/>
      <c r="S4" s="1329" t="s">
        <v>508</v>
      </c>
      <c r="T4" s="1330"/>
      <c r="U4" s="1331"/>
      <c r="V4" s="1329" t="s">
        <v>528</v>
      </c>
      <c r="W4" s="1330"/>
      <c r="X4" s="1331"/>
    </row>
    <row r="5" spans="1:25" ht="15.75" thickBot="1">
      <c r="A5" s="174"/>
      <c r="B5" s="109"/>
      <c r="C5" s="499" t="s">
        <v>150</v>
      </c>
      <c r="D5" s="709" t="s">
        <v>331</v>
      </c>
      <c r="E5" s="710" t="s">
        <v>332</v>
      </c>
      <c r="F5" s="711" t="s">
        <v>1</v>
      </c>
      <c r="G5" s="709" t="s">
        <v>331</v>
      </c>
      <c r="H5" s="710" t="s">
        <v>332</v>
      </c>
      <c r="I5" s="711" t="s">
        <v>1</v>
      </c>
      <c r="J5" s="709" t="s">
        <v>331</v>
      </c>
      <c r="K5" s="710" t="s">
        <v>332</v>
      </c>
      <c r="L5" s="711" t="s">
        <v>1</v>
      </c>
      <c r="M5" s="709" t="s">
        <v>331</v>
      </c>
      <c r="N5" s="710" t="s">
        <v>332</v>
      </c>
      <c r="O5" s="711" t="s">
        <v>1</v>
      </c>
      <c r="P5" s="709" t="s">
        <v>331</v>
      </c>
      <c r="Q5" s="710" t="s">
        <v>332</v>
      </c>
      <c r="R5" s="711" t="s">
        <v>1</v>
      </c>
      <c r="S5" s="709" t="s">
        <v>331</v>
      </c>
      <c r="T5" s="710" t="s">
        <v>332</v>
      </c>
      <c r="U5" s="711" t="s">
        <v>1</v>
      </c>
      <c r="V5" s="709" t="s">
        <v>331</v>
      </c>
      <c r="W5" s="710" t="s">
        <v>332</v>
      </c>
      <c r="X5" s="711" t="s">
        <v>1</v>
      </c>
    </row>
    <row r="6" spans="1:25" ht="15.95" customHeight="1">
      <c r="A6" s="174"/>
      <c r="B6" s="109"/>
      <c r="C6" s="690" t="s">
        <v>151</v>
      </c>
      <c r="D6" s="770">
        <v>231402.35699999999</v>
      </c>
      <c r="E6" s="771">
        <v>5402.6279999999997</v>
      </c>
      <c r="F6" s="772">
        <f>E6/D6*365/273*100</f>
        <v>3.1215299359089266</v>
      </c>
      <c r="G6" s="770">
        <v>234626.44399999999</v>
      </c>
      <c r="H6" s="771">
        <v>7170.1549999999997</v>
      </c>
      <c r="I6" s="772">
        <f>H6/G6*365/365*100</f>
        <v>3.0559875850993166</v>
      </c>
      <c r="J6" s="770">
        <v>247442.196</v>
      </c>
      <c r="K6" s="771">
        <v>1771.1790000000001</v>
      </c>
      <c r="L6" s="772">
        <f>K6/J6*366/91*100</f>
        <v>2.8789119746532683</v>
      </c>
      <c r="M6" s="770">
        <v>249356.64199999999</v>
      </c>
      <c r="N6" s="771">
        <v>3530.384</v>
      </c>
      <c r="O6" s="772">
        <f>N6/M6*366/182*100</f>
        <v>2.8471523243288739</v>
      </c>
      <c r="P6" s="770">
        <v>250033.943</v>
      </c>
      <c r="Q6" s="771">
        <v>5268.2879999999996</v>
      </c>
      <c r="R6" s="772">
        <f>Q6/P6*366/274*100</f>
        <v>2.8144987574659419</v>
      </c>
      <c r="S6" s="1200">
        <v>251661.96</v>
      </c>
      <c r="T6" s="1201">
        <v>6986.9189999999999</v>
      </c>
      <c r="U6" s="1068">
        <f>T6/S6*365/365*100</f>
        <v>2.7763111278319537</v>
      </c>
      <c r="V6" s="1228">
        <v>251987.264</v>
      </c>
      <c r="W6" s="1229">
        <v>1698.769</v>
      </c>
      <c r="X6" s="1230">
        <f>W6/V6*365/90*100</f>
        <v>2.7340477237593865</v>
      </c>
    </row>
    <row r="7" spans="1:25" ht="15.95" customHeight="1">
      <c r="A7" s="174"/>
      <c r="B7" s="109"/>
      <c r="C7" s="693" t="s">
        <v>152</v>
      </c>
      <c r="D7" s="770">
        <v>178082.14199999999</v>
      </c>
      <c r="E7" s="771">
        <v>4642.4380000000001</v>
      </c>
      <c r="F7" s="772">
        <f t="shared" ref="F7:F14" si="0">E7/D7*365/273*100</f>
        <v>3.4854267424145204</v>
      </c>
      <c r="G7" s="770">
        <v>180890.23499999999</v>
      </c>
      <c r="H7" s="771">
        <v>6163.7839999999997</v>
      </c>
      <c r="I7" s="772">
        <f t="shared" ref="I7:I14" si="1">H7/G7*365/365*100</f>
        <v>3.4074719400967108</v>
      </c>
      <c r="J7" s="770">
        <v>192922.139</v>
      </c>
      <c r="K7" s="771">
        <v>1519.2439999999999</v>
      </c>
      <c r="L7" s="772">
        <f t="shared" ref="L7:L14" si="2">K7/J7*366/91*100</f>
        <v>3.1672704904137405</v>
      </c>
      <c r="M7" s="770">
        <v>194224.38800000001</v>
      </c>
      <c r="N7" s="771">
        <v>3032.3969999999999</v>
      </c>
      <c r="O7" s="772">
        <f t="shared" ref="O7:O14" si="3">N7/M7*366/182*100</f>
        <v>3.1397277688711491</v>
      </c>
      <c r="P7" s="770">
        <v>195018.05600000001</v>
      </c>
      <c r="Q7" s="771">
        <v>4523.0029999999997</v>
      </c>
      <c r="R7" s="772">
        <f t="shared" ref="R7:R14" si="4">Q7/P7*366/274*100</f>
        <v>3.0980082891124625</v>
      </c>
      <c r="S7" s="1200">
        <v>195614.26199999999</v>
      </c>
      <c r="T7" s="1201">
        <v>5990.4089999999997</v>
      </c>
      <c r="U7" s="1068">
        <f t="shared" ref="U7:U15" si="5">T7/S7*365/365*100</f>
        <v>3.0623579992342274</v>
      </c>
      <c r="V7" s="1231">
        <v>196942.07999999999</v>
      </c>
      <c r="W7" s="1232">
        <v>1458.3389999999999</v>
      </c>
      <c r="X7" s="1230">
        <f t="shared" ref="X7:X21" si="6">W7/V7*365/90*100</f>
        <v>3.0031036705478757</v>
      </c>
    </row>
    <row r="8" spans="1:25" ht="15.95" customHeight="1">
      <c r="A8" s="174"/>
      <c r="B8" s="109"/>
      <c r="C8" s="693" t="s">
        <v>153</v>
      </c>
      <c r="D8" s="770">
        <v>22723.896000000001</v>
      </c>
      <c r="E8" s="771">
        <v>252.59800000000001</v>
      </c>
      <c r="F8" s="772">
        <f t="shared" si="0"/>
        <v>1.4862002569128145</v>
      </c>
      <c r="G8" s="770">
        <v>22973.187999999998</v>
      </c>
      <c r="H8" s="771">
        <v>342.75299999999999</v>
      </c>
      <c r="I8" s="772">
        <f t="shared" si="1"/>
        <v>1.4919696822225981</v>
      </c>
      <c r="J8" s="770">
        <v>22766.927</v>
      </c>
      <c r="K8" s="771">
        <v>97.79</v>
      </c>
      <c r="L8" s="772">
        <f t="shared" si="2"/>
        <v>1.7275464131335374</v>
      </c>
      <c r="M8" s="770">
        <v>23270.023000000001</v>
      </c>
      <c r="N8" s="771">
        <v>193.29499999999999</v>
      </c>
      <c r="O8" s="772">
        <f t="shared" si="3"/>
        <v>1.6704500931482573</v>
      </c>
      <c r="P8" s="770">
        <v>22795.477999999999</v>
      </c>
      <c r="Q8" s="771">
        <v>292.68299999999999</v>
      </c>
      <c r="R8" s="772">
        <f t="shared" si="4"/>
        <v>1.7150599960553194</v>
      </c>
      <c r="S8" s="1200">
        <v>23124.513999999999</v>
      </c>
      <c r="T8" s="1201">
        <v>395.91300000000001</v>
      </c>
      <c r="U8" s="1068">
        <f t="shared" si="5"/>
        <v>1.71209219791603</v>
      </c>
      <c r="V8" s="1231">
        <v>21104.407999999999</v>
      </c>
      <c r="W8" s="1232">
        <v>103.961</v>
      </c>
      <c r="X8" s="1230">
        <f t="shared" si="6"/>
        <v>1.9977798529629978</v>
      </c>
    </row>
    <row r="9" spans="1:25" ht="15.95" customHeight="1">
      <c r="A9" s="174"/>
      <c r="B9" s="109"/>
      <c r="C9" s="690" t="s">
        <v>154</v>
      </c>
      <c r="D9" s="770">
        <v>225855.65900000001</v>
      </c>
      <c r="E9" s="771">
        <v>2953.86</v>
      </c>
      <c r="F9" s="772">
        <f t="shared" si="0"/>
        <v>1.7485946632844831</v>
      </c>
      <c r="G9" s="770">
        <v>229093.796</v>
      </c>
      <c r="H9" s="771">
        <v>3859.681</v>
      </c>
      <c r="I9" s="772">
        <f t="shared" si="1"/>
        <v>1.6847601582366729</v>
      </c>
      <c r="J9" s="770">
        <v>241825.96900000001</v>
      </c>
      <c r="K9" s="771">
        <v>887.15700000000004</v>
      </c>
      <c r="L9" s="772">
        <f t="shared" si="2"/>
        <v>1.4754932941234098</v>
      </c>
      <c r="M9" s="770">
        <v>244696.44200000001</v>
      </c>
      <c r="N9" s="771">
        <v>1761.54</v>
      </c>
      <c r="O9" s="772">
        <f t="shared" si="3"/>
        <v>1.4476865921971935</v>
      </c>
      <c r="P9" s="770">
        <v>245416.47700000001</v>
      </c>
      <c r="Q9" s="771">
        <v>2608.9810000000002</v>
      </c>
      <c r="R9" s="772">
        <f t="shared" si="4"/>
        <v>1.4200306603611226</v>
      </c>
      <c r="S9" s="1200">
        <v>246935.12100000001</v>
      </c>
      <c r="T9" s="1201">
        <v>3447.7979999999998</v>
      </c>
      <c r="U9" s="1068">
        <f t="shared" si="5"/>
        <v>1.3962363822681989</v>
      </c>
      <c r="V9" s="1231">
        <v>247161.11</v>
      </c>
      <c r="W9" s="1232">
        <v>806.50900000000001</v>
      </c>
      <c r="X9" s="1230">
        <f t="shared" si="6"/>
        <v>1.323364365678547</v>
      </c>
    </row>
    <row r="10" spans="1:25" ht="15.95" customHeight="1">
      <c r="A10" s="174"/>
      <c r="B10" s="109"/>
      <c r="C10" s="693" t="s">
        <v>155</v>
      </c>
      <c r="D10" s="770">
        <v>171359.976</v>
      </c>
      <c r="E10" s="771">
        <v>2232.48</v>
      </c>
      <c r="F10" s="772">
        <f t="shared" si="0"/>
        <v>1.7418405698292012</v>
      </c>
      <c r="G10" s="770">
        <v>173868.016</v>
      </c>
      <c r="H10" s="771">
        <v>2917.6350000000002</v>
      </c>
      <c r="I10" s="772">
        <f t="shared" si="1"/>
        <v>1.678074591936449</v>
      </c>
      <c r="J10" s="770">
        <v>186067.921</v>
      </c>
      <c r="K10" s="771">
        <v>667.77499999999998</v>
      </c>
      <c r="L10" s="772">
        <f t="shared" si="2"/>
        <v>1.443438696574878</v>
      </c>
      <c r="M10" s="770">
        <v>188123.024</v>
      </c>
      <c r="N10" s="771">
        <v>1325.068</v>
      </c>
      <c r="O10" s="772">
        <f t="shared" si="3"/>
        <v>1.4164652099219852</v>
      </c>
      <c r="P10" s="770">
        <v>189206.06700000001</v>
      </c>
      <c r="Q10" s="771">
        <v>1962.633</v>
      </c>
      <c r="R10" s="772">
        <f t="shared" si="4"/>
        <v>1.3855894286802772</v>
      </c>
      <c r="S10" s="1200">
        <v>190541.264</v>
      </c>
      <c r="T10" s="1201">
        <v>2596.8090000000002</v>
      </c>
      <c r="U10" s="1068">
        <f t="shared" si="5"/>
        <v>1.362859123260566</v>
      </c>
      <c r="V10" s="1231">
        <v>192589.23199999999</v>
      </c>
      <c r="W10" s="1232">
        <v>599.45899999999995</v>
      </c>
      <c r="X10" s="1230">
        <f t="shared" si="6"/>
        <v>1.2623443442454654</v>
      </c>
    </row>
    <row r="11" spans="1:25" ht="15.95" customHeight="1">
      <c r="A11" s="174"/>
      <c r="B11" s="109"/>
      <c r="C11" s="693" t="s">
        <v>156</v>
      </c>
      <c r="D11" s="770">
        <v>10800.759</v>
      </c>
      <c r="E11" s="771">
        <v>36.084000000000003</v>
      </c>
      <c r="F11" s="772">
        <f t="shared" si="0"/>
        <v>0.44667394045340536</v>
      </c>
      <c r="G11" s="770">
        <v>11568.322</v>
      </c>
      <c r="H11" s="771">
        <v>51.05</v>
      </c>
      <c r="I11" s="772">
        <f t="shared" si="1"/>
        <v>0.44129131260350463</v>
      </c>
      <c r="J11" s="770">
        <v>13837.869000000001</v>
      </c>
      <c r="K11" s="771">
        <v>18.16</v>
      </c>
      <c r="L11" s="772">
        <f t="shared" si="2"/>
        <v>0.52782058335080984</v>
      </c>
      <c r="M11" s="770">
        <v>14615.494000000001</v>
      </c>
      <c r="N11" s="771">
        <v>36.948</v>
      </c>
      <c r="O11" s="772">
        <f t="shared" si="3"/>
        <v>0.50837845082774458</v>
      </c>
      <c r="P11" s="770">
        <v>14798.094999999999</v>
      </c>
      <c r="Q11" s="771">
        <v>53.62</v>
      </c>
      <c r="R11" s="772">
        <f t="shared" si="4"/>
        <v>0.48400686453518477</v>
      </c>
      <c r="S11" s="1200">
        <v>14838.683999999999</v>
      </c>
      <c r="T11" s="1201">
        <v>70.228999999999999</v>
      </c>
      <c r="U11" s="1068">
        <f t="shared" si="5"/>
        <v>0.47328321029007697</v>
      </c>
      <c r="V11" s="1231">
        <v>14483.138000000001</v>
      </c>
      <c r="W11" s="1232">
        <v>17.657</v>
      </c>
      <c r="X11" s="1230">
        <f t="shared" si="6"/>
        <v>0.49442975993492877</v>
      </c>
    </row>
    <row r="12" spans="1:25" ht="15.95" customHeight="1">
      <c r="A12" s="174"/>
      <c r="B12" s="109"/>
      <c r="C12" s="690" t="s">
        <v>157</v>
      </c>
      <c r="D12" s="770">
        <v>8648.8320000000003</v>
      </c>
      <c r="E12" s="771">
        <v>107.389</v>
      </c>
      <c r="F12" s="772">
        <f t="shared" si="0"/>
        <v>1.6600935205320169</v>
      </c>
      <c r="G12" s="770">
        <v>8832.3520000000008</v>
      </c>
      <c r="H12" s="771">
        <v>141.46899999999999</v>
      </c>
      <c r="I12" s="772">
        <f t="shared" si="1"/>
        <v>1.6017137903924117</v>
      </c>
      <c r="J12" s="770">
        <v>8701.6569999999992</v>
      </c>
      <c r="K12" s="771">
        <v>30.765999999999998</v>
      </c>
      <c r="L12" s="772">
        <f t="shared" si="2"/>
        <v>1.422030032029254</v>
      </c>
      <c r="M12" s="770">
        <v>8527.3529999999992</v>
      </c>
      <c r="N12" s="771">
        <v>59.252000000000002</v>
      </c>
      <c r="O12" s="772">
        <f t="shared" si="3"/>
        <v>1.3973283488923338</v>
      </c>
      <c r="P12" s="770">
        <v>8529.3770000000004</v>
      </c>
      <c r="Q12" s="771">
        <v>87.21</v>
      </c>
      <c r="R12" s="772">
        <f t="shared" si="4"/>
        <v>1.3657760675958148</v>
      </c>
      <c r="S12" s="1200">
        <v>8669.5059999999994</v>
      </c>
      <c r="T12" s="1201">
        <v>114.661</v>
      </c>
      <c r="U12" s="1068">
        <f t="shared" si="5"/>
        <v>1.3225782414822715</v>
      </c>
      <c r="V12" s="1231">
        <v>9062.9169999999995</v>
      </c>
      <c r="W12" s="1232">
        <v>27.045999999999999</v>
      </c>
      <c r="X12" s="1230">
        <f t="shared" si="6"/>
        <v>1.2102787166158044</v>
      </c>
    </row>
    <row r="13" spans="1:25" ht="15.95" customHeight="1">
      <c r="A13" s="174"/>
      <c r="B13" s="109"/>
      <c r="C13" s="693" t="s">
        <v>158</v>
      </c>
      <c r="D13" s="770">
        <v>10445.348</v>
      </c>
      <c r="E13" s="771">
        <v>41.5</v>
      </c>
      <c r="F13" s="772">
        <f t="shared" si="0"/>
        <v>0.5311967393077569</v>
      </c>
      <c r="G13" s="770">
        <v>10647.454</v>
      </c>
      <c r="H13" s="771">
        <v>59.456000000000003</v>
      </c>
      <c r="I13" s="772">
        <f t="shared" si="1"/>
        <v>0.55840579353524333</v>
      </c>
      <c r="J13" s="770">
        <v>10748.51</v>
      </c>
      <c r="K13" s="771">
        <v>21.120999999999999</v>
      </c>
      <c r="L13" s="772">
        <f t="shared" si="2"/>
        <v>0.79032533627635626</v>
      </c>
      <c r="M13" s="770">
        <v>10776.133</v>
      </c>
      <c r="N13" s="771">
        <v>43.439</v>
      </c>
      <c r="O13" s="772">
        <f t="shared" si="3"/>
        <v>0.81063728192990614</v>
      </c>
      <c r="P13" s="770">
        <v>10091.779</v>
      </c>
      <c r="Q13" s="771">
        <v>63.832999999999998</v>
      </c>
      <c r="R13" s="772">
        <f t="shared" si="4"/>
        <v>0.84490532444467681</v>
      </c>
      <c r="S13" s="1200">
        <v>10035.713</v>
      </c>
      <c r="T13" s="1201">
        <v>84.527000000000001</v>
      </c>
      <c r="U13" s="1068">
        <f t="shared" si="5"/>
        <v>0.84226202961364072</v>
      </c>
      <c r="V13" s="1231">
        <v>8584.0679999999993</v>
      </c>
      <c r="W13" s="1232">
        <v>25.298999999999999</v>
      </c>
      <c r="X13" s="1230">
        <f t="shared" si="6"/>
        <v>1.1952549770108998</v>
      </c>
    </row>
    <row r="14" spans="1:25" ht="15.95" customHeight="1">
      <c r="A14" s="174"/>
      <c r="B14" s="109"/>
      <c r="C14" s="693" t="s">
        <v>159</v>
      </c>
      <c r="D14" s="266">
        <v>14681.156000000001</v>
      </c>
      <c r="E14" s="265">
        <v>350.16399999999999</v>
      </c>
      <c r="F14" s="772">
        <f t="shared" si="0"/>
        <v>3.1889040982057901</v>
      </c>
      <c r="G14" s="266">
        <v>14369.655000000001</v>
      </c>
      <c r="H14" s="265">
        <v>449.23399999999998</v>
      </c>
      <c r="I14" s="772">
        <f t="shared" si="1"/>
        <v>3.1262685151452834</v>
      </c>
      <c r="J14" s="266">
        <v>13364.813</v>
      </c>
      <c r="K14" s="265">
        <v>96.228999999999999</v>
      </c>
      <c r="L14" s="772">
        <f t="shared" si="2"/>
        <v>2.895894787880108</v>
      </c>
      <c r="M14" s="266">
        <v>13783.638999999999</v>
      </c>
      <c r="N14" s="265">
        <v>193.65</v>
      </c>
      <c r="O14" s="772">
        <f t="shared" si="3"/>
        <v>2.8252917968761517</v>
      </c>
      <c r="P14" s="266">
        <v>14114.1</v>
      </c>
      <c r="Q14" s="265">
        <v>291.661</v>
      </c>
      <c r="R14" s="772">
        <f t="shared" si="4"/>
        <v>2.7602962342828783</v>
      </c>
      <c r="S14" s="1202">
        <v>14233.558000000001</v>
      </c>
      <c r="T14" s="1203">
        <v>386.02300000000002</v>
      </c>
      <c r="U14" s="1068">
        <f t="shared" si="5"/>
        <v>2.7120625777476022</v>
      </c>
      <c r="V14" s="1231">
        <v>14790.45</v>
      </c>
      <c r="W14" s="1232">
        <v>90.242000000000004</v>
      </c>
      <c r="X14" s="1230">
        <f t="shared" si="6"/>
        <v>2.474444282928812</v>
      </c>
    </row>
    <row r="15" spans="1:25" ht="15.95" customHeight="1" thickBot="1">
      <c r="A15" s="174"/>
      <c r="B15" s="109"/>
      <c r="C15" s="691" t="s">
        <v>160</v>
      </c>
      <c r="D15" s="773">
        <v>5023.4549999999999</v>
      </c>
      <c r="E15" s="774">
        <v>102.127</v>
      </c>
      <c r="F15" s="772">
        <f>E15/D15*365/273*100</f>
        <v>2.7181178075333587</v>
      </c>
      <c r="G15" s="773">
        <v>4851.2889999999998</v>
      </c>
      <c r="H15" s="774">
        <v>132.19499999999999</v>
      </c>
      <c r="I15" s="772">
        <f>H15/G15*365/365*100</f>
        <v>2.7249458855161999</v>
      </c>
      <c r="J15" s="773">
        <v>4276.5150000000003</v>
      </c>
      <c r="K15" s="774">
        <v>27.190999999999999</v>
      </c>
      <c r="L15" s="772">
        <f>K15/J15*366/91*100</f>
        <v>2.5572599276655028</v>
      </c>
      <c r="M15" s="773">
        <v>4111.1760000000004</v>
      </c>
      <c r="N15" s="774">
        <v>52.14</v>
      </c>
      <c r="O15" s="772">
        <f>N15/M15*366/182*100</f>
        <v>2.5504373209263487</v>
      </c>
      <c r="P15" s="773">
        <v>4018.87</v>
      </c>
      <c r="Q15" s="774">
        <v>76.674000000000007</v>
      </c>
      <c r="R15" s="772">
        <f>Q15/P15*366/274*100</f>
        <v>2.5484415953869015</v>
      </c>
      <c r="S15" s="1204">
        <v>3950.614</v>
      </c>
      <c r="T15" s="1205">
        <v>100.45399999999999</v>
      </c>
      <c r="U15" s="1068">
        <f t="shared" si="5"/>
        <v>2.5427439886559404</v>
      </c>
      <c r="V15" s="1233">
        <v>3715.7530000000002</v>
      </c>
      <c r="W15" s="1234">
        <v>27.988</v>
      </c>
      <c r="X15" s="1230">
        <f t="shared" si="6"/>
        <v>3.0547479579210162</v>
      </c>
    </row>
    <row r="16" spans="1:25" ht="15.95" customHeight="1">
      <c r="A16" s="174"/>
      <c r="B16" s="109"/>
      <c r="C16" s="712" t="s">
        <v>161</v>
      </c>
      <c r="D16" s="775" t="s">
        <v>2</v>
      </c>
      <c r="E16" s="776" t="s">
        <v>2</v>
      </c>
      <c r="F16" s="777">
        <f>F6-F9</f>
        <v>1.3729352726244435</v>
      </c>
      <c r="G16" s="775" t="s">
        <v>2</v>
      </c>
      <c r="H16" s="776" t="s">
        <v>2</v>
      </c>
      <c r="I16" s="777">
        <f>I6-I9</f>
        <v>1.3712274268626437</v>
      </c>
      <c r="J16" s="775" t="s">
        <v>2</v>
      </c>
      <c r="K16" s="776" t="s">
        <v>2</v>
      </c>
      <c r="L16" s="777">
        <f>L6-L9</f>
        <v>1.4034186805298585</v>
      </c>
      <c r="M16" s="775" t="s">
        <v>399</v>
      </c>
      <c r="N16" s="776" t="s">
        <v>399</v>
      </c>
      <c r="O16" s="777">
        <f>O6-O9</f>
        <v>1.3994657321316804</v>
      </c>
      <c r="P16" s="775" t="s">
        <v>399</v>
      </c>
      <c r="Q16" s="776" t="s">
        <v>399</v>
      </c>
      <c r="R16" s="777">
        <f>R6-R9</f>
        <v>1.3944680971048193</v>
      </c>
      <c r="S16" s="1206" t="s">
        <v>399</v>
      </c>
      <c r="T16" s="1207" t="s">
        <v>399</v>
      </c>
      <c r="U16" s="1069">
        <f>U6-U9</f>
        <v>1.3800747455637548</v>
      </c>
      <c r="V16" s="1235" t="s">
        <v>2</v>
      </c>
      <c r="W16" s="1236" t="s">
        <v>2</v>
      </c>
      <c r="X16" s="1237">
        <f>X6-X9</f>
        <v>1.4106833580808396</v>
      </c>
    </row>
    <row r="17" spans="1:24" ht="15.95" customHeight="1">
      <c r="A17" s="174"/>
      <c r="B17" s="109"/>
      <c r="C17" s="713" t="s">
        <v>162</v>
      </c>
      <c r="D17" s="272" t="s">
        <v>2</v>
      </c>
      <c r="E17" s="270" t="s">
        <v>2</v>
      </c>
      <c r="F17" s="271">
        <f>F7-F10</f>
        <v>1.7435861725853192</v>
      </c>
      <c r="G17" s="272" t="s">
        <v>2</v>
      </c>
      <c r="H17" s="270" t="s">
        <v>2</v>
      </c>
      <c r="I17" s="271">
        <f>I7-I10</f>
        <v>1.7293973481602618</v>
      </c>
      <c r="J17" s="272" t="s">
        <v>2</v>
      </c>
      <c r="K17" s="270" t="s">
        <v>2</v>
      </c>
      <c r="L17" s="271">
        <f>L7-L10</f>
        <v>1.7238317938388625</v>
      </c>
      <c r="M17" s="272" t="s">
        <v>399</v>
      </c>
      <c r="N17" s="270" t="s">
        <v>399</v>
      </c>
      <c r="O17" s="271">
        <f>O7-O10</f>
        <v>1.7232625589491639</v>
      </c>
      <c r="P17" s="272" t="s">
        <v>399</v>
      </c>
      <c r="Q17" s="270" t="s">
        <v>399</v>
      </c>
      <c r="R17" s="271">
        <f>R7-R10</f>
        <v>1.7124188604321853</v>
      </c>
      <c r="S17" s="1208" t="s">
        <v>399</v>
      </c>
      <c r="T17" s="1209" t="s">
        <v>399</v>
      </c>
      <c r="U17" s="1070">
        <f>U7-U10</f>
        <v>1.6994988759736613</v>
      </c>
      <c r="V17" s="1238" t="s">
        <v>2</v>
      </c>
      <c r="W17" s="1239" t="s">
        <v>2</v>
      </c>
      <c r="X17" s="1240">
        <f>X7-X10</f>
        <v>1.7407593263024104</v>
      </c>
    </row>
    <row r="18" spans="1:24" ht="15.95" customHeight="1">
      <c r="A18" s="174"/>
      <c r="B18" s="109"/>
      <c r="C18" s="713" t="s">
        <v>163</v>
      </c>
      <c r="D18" s="272" t="s">
        <v>2</v>
      </c>
      <c r="E18" s="270" t="s">
        <v>2</v>
      </c>
      <c r="F18" s="271">
        <f>F8-F11</f>
        <v>1.0395263164594093</v>
      </c>
      <c r="G18" s="272" t="s">
        <v>2</v>
      </c>
      <c r="H18" s="270" t="s">
        <v>2</v>
      </c>
      <c r="I18" s="271">
        <f>I8-I11</f>
        <v>1.0506783696190936</v>
      </c>
      <c r="J18" s="272" t="s">
        <v>2</v>
      </c>
      <c r="K18" s="270" t="s">
        <v>2</v>
      </c>
      <c r="L18" s="271">
        <f>L8-L11</f>
        <v>1.1997258297827276</v>
      </c>
      <c r="M18" s="272" t="s">
        <v>399</v>
      </c>
      <c r="N18" s="270" t="s">
        <v>399</v>
      </c>
      <c r="O18" s="271">
        <f>O8-O11</f>
        <v>1.1620716423205129</v>
      </c>
      <c r="P18" s="272" t="s">
        <v>399</v>
      </c>
      <c r="Q18" s="270" t="s">
        <v>399</v>
      </c>
      <c r="R18" s="271">
        <f>R8-R11</f>
        <v>1.2310531315201347</v>
      </c>
      <c r="S18" s="1208" t="s">
        <v>399</v>
      </c>
      <c r="T18" s="1209" t="s">
        <v>399</v>
      </c>
      <c r="U18" s="1070">
        <f>U8-U11</f>
        <v>1.2388089876259529</v>
      </c>
      <c r="V18" s="1238" t="s">
        <v>2</v>
      </c>
      <c r="W18" s="1239" t="s">
        <v>2</v>
      </c>
      <c r="X18" s="1240">
        <f>X8-X11</f>
        <v>1.503350093028069</v>
      </c>
    </row>
    <row r="19" spans="1:24" ht="15.95" customHeight="1">
      <c r="A19" s="174"/>
      <c r="B19" s="109"/>
      <c r="C19" s="714" t="s">
        <v>164</v>
      </c>
      <c r="D19" s="275">
        <v>231402.35699999999</v>
      </c>
      <c r="E19" s="273">
        <v>2448.7679999999996</v>
      </c>
      <c r="F19" s="274">
        <f>E19/D19*365/273*100</f>
        <v>1.4148489620414049</v>
      </c>
      <c r="G19" s="275">
        <v>234626.44399999999</v>
      </c>
      <c r="H19" s="273">
        <v>3310.4740000000002</v>
      </c>
      <c r="I19" s="274">
        <f>H19/G19*365/365*100</f>
        <v>1.4109551948031911</v>
      </c>
      <c r="J19" s="275">
        <v>247442.196</v>
      </c>
      <c r="K19" s="273">
        <v>884.02200000000005</v>
      </c>
      <c r="L19" s="274">
        <f>K19/J19*366/91*100</f>
        <v>1.4369081395256671</v>
      </c>
      <c r="M19" s="275">
        <v>249356.64199999999</v>
      </c>
      <c r="N19" s="273">
        <v>1768.8440000000001</v>
      </c>
      <c r="O19" s="274">
        <f>N19/M19*366/182*100</f>
        <v>1.4265213942662278</v>
      </c>
      <c r="P19" s="275">
        <v>250033.943</v>
      </c>
      <c r="Q19" s="273">
        <v>2659.3069999999998</v>
      </c>
      <c r="R19" s="274">
        <f>Q19/P19*366/274*100</f>
        <v>1.4206923097637187</v>
      </c>
      <c r="S19" s="1210">
        <v>251661.96</v>
      </c>
      <c r="T19" s="1211">
        <v>3539.12</v>
      </c>
      <c r="U19" s="1071">
        <f t="shared" ref="U19:U21" si="7">T19/S19*365/365*100</f>
        <v>1.4062991482701637</v>
      </c>
      <c r="V19" s="1241">
        <v>251987.264</v>
      </c>
      <c r="W19" s="1242">
        <v>892.26099999999997</v>
      </c>
      <c r="X19" s="1230">
        <f t="shared" si="6"/>
        <v>1.436030535081152</v>
      </c>
    </row>
    <row r="20" spans="1:24" ht="15.95" customHeight="1">
      <c r="A20" s="174"/>
      <c r="B20" s="109"/>
      <c r="C20" s="713" t="s">
        <v>165</v>
      </c>
      <c r="D20" s="275">
        <v>205921.16500000001</v>
      </c>
      <c r="E20" s="273">
        <v>2366.0769999999998</v>
      </c>
      <c r="F20" s="274">
        <f>E20/D20*365/273*100</f>
        <v>1.5362365894012311</v>
      </c>
      <c r="G20" s="275">
        <v>208517.22500000001</v>
      </c>
      <c r="H20" s="273">
        <v>3195.83</v>
      </c>
      <c r="I20" s="274">
        <f>H20/G20*365/365*100</f>
        <v>1.5326455644132038</v>
      </c>
      <c r="J20" s="275">
        <v>220129.234</v>
      </c>
      <c r="K20" s="273">
        <v>846.37900000000013</v>
      </c>
      <c r="L20" s="274">
        <f>K20/J20*366/91*100</f>
        <v>1.5464178357444958</v>
      </c>
      <c r="M20" s="275">
        <v>221625.11300000001</v>
      </c>
      <c r="N20" s="273">
        <v>1695.3489999999999</v>
      </c>
      <c r="O20" s="274">
        <f>N20/M20*366/182*100</f>
        <v>1.5383311767521619</v>
      </c>
      <c r="P20" s="275">
        <v>222793.58100000001</v>
      </c>
      <c r="Q20" s="273">
        <v>2540.527</v>
      </c>
      <c r="R20" s="274">
        <f>Q20/P20*366/274*100</f>
        <v>1.5231815248005627</v>
      </c>
      <c r="S20" s="1210">
        <v>224133.66200000001</v>
      </c>
      <c r="T20" s="1211">
        <v>3370.502</v>
      </c>
      <c r="U20" s="1071">
        <f t="shared" si="7"/>
        <v>1.5037910726680583</v>
      </c>
      <c r="V20" s="1241">
        <v>226327.158</v>
      </c>
      <c r="W20" s="1242">
        <v>849.59299999999996</v>
      </c>
      <c r="X20" s="1230">
        <f t="shared" si="6"/>
        <v>1.5223854006557669</v>
      </c>
    </row>
    <row r="21" spans="1:24" ht="15.95" customHeight="1" thickBot="1">
      <c r="A21" s="174"/>
      <c r="B21" s="109"/>
      <c r="C21" s="691" t="s">
        <v>166</v>
      </c>
      <c r="D21" s="778">
        <v>25481.191999999999</v>
      </c>
      <c r="E21" s="779">
        <v>82.69</v>
      </c>
      <c r="F21" s="780">
        <f>E21/D21*365/273*100</f>
        <v>0.43387384352438108</v>
      </c>
      <c r="G21" s="778">
        <v>26109.219000000001</v>
      </c>
      <c r="H21" s="779">
        <v>114.645</v>
      </c>
      <c r="I21" s="780">
        <f>H21/G21*365/365*100</f>
        <v>0.43909777615331957</v>
      </c>
      <c r="J21" s="778">
        <v>27312.962</v>
      </c>
      <c r="K21" s="779">
        <v>37.643000000000001</v>
      </c>
      <c r="L21" s="780">
        <f>K21/J21*366/91*100</f>
        <v>0.55431307187158496</v>
      </c>
      <c r="M21" s="778">
        <v>27731.528999999999</v>
      </c>
      <c r="N21" s="779">
        <v>73.495000000000005</v>
      </c>
      <c r="O21" s="780">
        <f>N21/M21*366/182*100</f>
        <v>0.53295884753645351</v>
      </c>
      <c r="P21" s="778">
        <v>27240.363000000001</v>
      </c>
      <c r="Q21" s="779">
        <v>118.78100000000001</v>
      </c>
      <c r="R21" s="780">
        <f>Q21/P21*366/274*100</f>
        <v>0.58245799269579013</v>
      </c>
      <c r="S21" s="1212">
        <v>27528.297999999999</v>
      </c>
      <c r="T21" s="1213">
        <v>168.61799999999999</v>
      </c>
      <c r="U21" s="1072">
        <f t="shared" si="7"/>
        <v>0.61252606318051328</v>
      </c>
      <c r="V21" s="1243">
        <v>25660.106</v>
      </c>
      <c r="W21" s="1244">
        <v>42.668700000000001</v>
      </c>
      <c r="X21" s="1245">
        <f t="shared" si="6"/>
        <v>0.67437477979761018</v>
      </c>
    </row>
    <row r="22" spans="1:24">
      <c r="A22" s="174"/>
      <c r="B22" s="109"/>
      <c r="C22" s="202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</row>
    <row r="23" spans="1:24" ht="17.25">
      <c r="A23" s="174"/>
      <c r="B23" s="109"/>
      <c r="C23" s="170" t="s">
        <v>418</v>
      </c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</row>
    <row r="24" spans="1:24">
      <c r="A24" s="174"/>
      <c r="B24" s="109"/>
      <c r="C24" s="500"/>
      <c r="D24" s="1329" t="s">
        <v>479</v>
      </c>
      <c r="E24" s="1330"/>
      <c r="F24" s="1331"/>
      <c r="G24" s="1329" t="s">
        <v>481</v>
      </c>
      <c r="H24" s="1330"/>
      <c r="I24" s="1331"/>
      <c r="J24" s="1329" t="s">
        <v>483</v>
      </c>
      <c r="K24" s="1330"/>
      <c r="L24" s="1331"/>
      <c r="M24" s="1329" t="s">
        <v>498</v>
      </c>
      <c r="N24" s="1330"/>
      <c r="O24" s="1331"/>
      <c r="P24" s="1329" t="s">
        <v>504</v>
      </c>
      <c r="Q24" s="1330"/>
      <c r="R24" s="1331"/>
      <c r="S24" s="1329" t="s">
        <v>513</v>
      </c>
      <c r="T24" s="1330"/>
      <c r="U24" s="1331"/>
      <c r="V24" s="1329" t="s">
        <v>533</v>
      </c>
      <c r="W24" s="1330"/>
      <c r="X24" s="1331"/>
    </row>
    <row r="25" spans="1:24" ht="15.75" thickBot="1">
      <c r="A25" s="174"/>
      <c r="B25" s="109"/>
      <c r="C25" s="499" t="s">
        <v>150</v>
      </c>
      <c r="D25" s="709" t="s">
        <v>331</v>
      </c>
      <c r="E25" s="710" t="s">
        <v>332</v>
      </c>
      <c r="F25" s="711" t="s">
        <v>1</v>
      </c>
      <c r="G25" s="709" t="s">
        <v>331</v>
      </c>
      <c r="H25" s="710" t="s">
        <v>332</v>
      </c>
      <c r="I25" s="711" t="s">
        <v>1</v>
      </c>
      <c r="J25" s="709" t="s">
        <v>331</v>
      </c>
      <c r="K25" s="710" t="s">
        <v>332</v>
      </c>
      <c r="L25" s="711" t="s">
        <v>1</v>
      </c>
      <c r="M25" s="709" t="s">
        <v>331</v>
      </c>
      <c r="N25" s="710" t="s">
        <v>332</v>
      </c>
      <c r="O25" s="711" t="s">
        <v>1</v>
      </c>
      <c r="P25" s="709" t="s">
        <v>331</v>
      </c>
      <c r="Q25" s="710" t="s">
        <v>332</v>
      </c>
      <c r="R25" s="711" t="s">
        <v>1</v>
      </c>
      <c r="S25" s="709" t="s">
        <v>331</v>
      </c>
      <c r="T25" s="710" t="s">
        <v>332</v>
      </c>
      <c r="U25" s="711" t="s">
        <v>1</v>
      </c>
      <c r="V25" s="709" t="s">
        <v>331</v>
      </c>
      <c r="W25" s="710" t="s">
        <v>332</v>
      </c>
      <c r="X25" s="711" t="s">
        <v>1</v>
      </c>
    </row>
    <row r="26" spans="1:24" ht="15.95" customHeight="1">
      <c r="A26" s="174"/>
      <c r="B26" s="109"/>
      <c r="C26" s="690" t="s">
        <v>317</v>
      </c>
      <c r="D26" s="262">
        <v>240042.361</v>
      </c>
      <c r="E26" s="260">
        <v>1772.45</v>
      </c>
      <c r="F26" s="261">
        <f>E26/D26*365/92*100</f>
        <v>2.9294840661025265</v>
      </c>
      <c r="G26" s="262">
        <v>244193.57399999999</v>
      </c>
      <c r="H26" s="260">
        <v>1767.528</v>
      </c>
      <c r="I26" s="261">
        <f>H26/G26*365/92*100</f>
        <v>2.8716870401312469</v>
      </c>
      <c r="J26" s="262">
        <v>247442.196</v>
      </c>
      <c r="K26" s="260">
        <v>1771.1790000000001</v>
      </c>
      <c r="L26" s="261">
        <f>K26/J26*366/91*100</f>
        <v>2.8789119746532683</v>
      </c>
      <c r="M26" s="770">
        <v>251271.087</v>
      </c>
      <c r="N26" s="771">
        <v>1759.2049999999999</v>
      </c>
      <c r="O26" s="772">
        <f>N26/M26*366/91*100</f>
        <v>2.8158766416901142</v>
      </c>
      <c r="P26" s="770">
        <v>251373.823</v>
      </c>
      <c r="Q26" s="771">
        <v>1737.905</v>
      </c>
      <c r="R26" s="772">
        <f>Q26/P26*366/92*100</f>
        <v>2.7504214138167193</v>
      </c>
      <c r="S26" s="1200">
        <v>256510.617</v>
      </c>
      <c r="T26" s="1201">
        <v>1718.63</v>
      </c>
      <c r="U26" s="1068">
        <f>T26/S26*4*100</f>
        <v>2.6800138257045325</v>
      </c>
      <c r="V26" s="1228">
        <v>251987.264</v>
      </c>
      <c r="W26" s="1229">
        <v>1698.769</v>
      </c>
      <c r="X26" s="1230">
        <f>W26/V26*365/90*100</f>
        <v>2.7340477237593865</v>
      </c>
    </row>
    <row r="27" spans="1:24" ht="15.95" customHeight="1">
      <c r="A27" s="174"/>
      <c r="B27" s="109"/>
      <c r="C27" s="693" t="s">
        <v>318</v>
      </c>
      <c r="D27" s="262">
        <v>182289.57800000001</v>
      </c>
      <c r="E27" s="260">
        <v>1510.3389999999999</v>
      </c>
      <c r="F27" s="261">
        <f t="shared" ref="F27:F34" si="8">E27/D27*365/92*100</f>
        <v>3.2871357106424317</v>
      </c>
      <c r="G27" s="262">
        <v>189222.948</v>
      </c>
      <c r="H27" s="260">
        <v>1521.346</v>
      </c>
      <c r="I27" s="261">
        <f t="shared" ref="I27:I34" si="9">H27/G27*365/92*100</f>
        <v>3.1897689762788959</v>
      </c>
      <c r="J27" s="262">
        <v>192922.139</v>
      </c>
      <c r="K27" s="260">
        <v>1519.2439999999999</v>
      </c>
      <c r="L27" s="261">
        <f t="shared" ref="L27:L34" si="10">K27/J27*366/91*100</f>
        <v>3.1672704904137405</v>
      </c>
      <c r="M27" s="770">
        <v>195526.636</v>
      </c>
      <c r="N27" s="771">
        <v>1513.153</v>
      </c>
      <c r="O27" s="772">
        <f t="shared" ref="O27:O34" si="11">N27/M27*366/91*100</f>
        <v>3.1125519440175453</v>
      </c>
      <c r="P27" s="770">
        <v>196588.139</v>
      </c>
      <c r="Q27" s="771">
        <v>1490.606</v>
      </c>
      <c r="R27" s="772">
        <f t="shared" ref="R27:R34" si="12">Q27/P27*366/92*100</f>
        <v>3.016468619065126</v>
      </c>
      <c r="S27" s="1200">
        <v>197389.92</v>
      </c>
      <c r="T27" s="1201">
        <v>1467.4059999999999</v>
      </c>
      <c r="U27" s="1068">
        <f>T27/S27*4*100</f>
        <v>2.9736189163053512</v>
      </c>
      <c r="V27" s="1231">
        <v>196942.07999999999</v>
      </c>
      <c r="W27" s="1232">
        <v>1458.3389999999999</v>
      </c>
      <c r="X27" s="1230">
        <f t="shared" ref="X27:X41" si="13">W27/V27*365/90*100</f>
        <v>3.0031036705478757</v>
      </c>
    </row>
    <row r="28" spans="1:24" ht="15.95" customHeight="1">
      <c r="A28" s="174"/>
      <c r="B28" s="109"/>
      <c r="C28" s="693" t="s">
        <v>319</v>
      </c>
      <c r="D28" s="262">
        <v>25328.04</v>
      </c>
      <c r="E28" s="260">
        <v>91.858999999999995</v>
      </c>
      <c r="F28" s="261">
        <f t="shared" si="8"/>
        <v>1.43888195780679</v>
      </c>
      <c r="G28" s="262">
        <v>23712.935000000001</v>
      </c>
      <c r="H28" s="260">
        <v>90.155000000000001</v>
      </c>
      <c r="I28" s="261">
        <f t="shared" si="9"/>
        <v>1.5083757579712431</v>
      </c>
      <c r="J28" s="262">
        <v>22766.927</v>
      </c>
      <c r="K28" s="260">
        <v>97.79</v>
      </c>
      <c r="L28" s="261">
        <f t="shared" si="10"/>
        <v>1.7275464131335374</v>
      </c>
      <c r="M28" s="770">
        <v>23773.117999999999</v>
      </c>
      <c r="N28" s="771">
        <v>95.504999999999995</v>
      </c>
      <c r="O28" s="772">
        <f t="shared" si="11"/>
        <v>1.6157704302355751</v>
      </c>
      <c r="P28" s="770">
        <v>21856.704000000002</v>
      </c>
      <c r="Q28" s="771">
        <v>99.388000000000005</v>
      </c>
      <c r="R28" s="772">
        <f t="shared" si="12"/>
        <v>1.8090165438684069</v>
      </c>
      <c r="S28" s="1200">
        <v>24104.469000000001</v>
      </c>
      <c r="T28" s="1201">
        <v>103.23</v>
      </c>
      <c r="U28" s="1068">
        <f t="shared" ref="U28:U35" si="14">T28/S28*4*100</f>
        <v>1.7130433364866904</v>
      </c>
      <c r="V28" s="1231">
        <v>21104.407999999999</v>
      </c>
      <c r="W28" s="1232">
        <v>103.961</v>
      </c>
      <c r="X28" s="1230">
        <f t="shared" si="13"/>
        <v>1.9977798529629978</v>
      </c>
    </row>
    <row r="29" spans="1:24" ht="15.95" customHeight="1">
      <c r="A29" s="174"/>
      <c r="B29" s="109"/>
      <c r="C29" s="690" t="s">
        <v>320</v>
      </c>
      <c r="D29" s="262">
        <v>235167.88800000001</v>
      </c>
      <c r="E29" s="260">
        <v>937.73099999999999</v>
      </c>
      <c r="F29" s="261">
        <f t="shared" si="8"/>
        <v>1.5819956741786922</v>
      </c>
      <c r="G29" s="262">
        <v>238702.614</v>
      </c>
      <c r="H29" s="260">
        <v>905.822</v>
      </c>
      <c r="I29" s="261">
        <f t="shared" si="9"/>
        <v>1.5055345502362016</v>
      </c>
      <c r="J29" s="262">
        <v>241825.96900000001</v>
      </c>
      <c r="K29" s="260">
        <v>887.15700000000004</v>
      </c>
      <c r="L29" s="261">
        <f t="shared" si="10"/>
        <v>1.4754932941234098</v>
      </c>
      <c r="M29" s="770">
        <v>247566.91500000001</v>
      </c>
      <c r="N29" s="771">
        <v>874.38300000000004</v>
      </c>
      <c r="O29" s="772">
        <f t="shared" si="11"/>
        <v>1.4205247130018197</v>
      </c>
      <c r="P29" s="770">
        <v>246840.89300000001</v>
      </c>
      <c r="Q29" s="771">
        <v>847.44200000000001</v>
      </c>
      <c r="R29" s="772">
        <f t="shared" si="12"/>
        <v>1.3657969337463411</v>
      </c>
      <c r="S29" s="1200">
        <v>251458.04199999999</v>
      </c>
      <c r="T29" s="1201">
        <v>838.81700000000001</v>
      </c>
      <c r="U29" s="1068">
        <f t="shared" si="14"/>
        <v>1.3343251913176037</v>
      </c>
      <c r="V29" s="1231">
        <v>247161.11</v>
      </c>
      <c r="W29" s="1232">
        <v>806.50900000000001</v>
      </c>
      <c r="X29" s="1230">
        <f t="shared" si="13"/>
        <v>1.323364365678547</v>
      </c>
    </row>
    <row r="30" spans="1:24" ht="15.95" customHeight="1">
      <c r="A30" s="174"/>
      <c r="B30" s="109"/>
      <c r="C30" s="693" t="s">
        <v>155</v>
      </c>
      <c r="D30" s="262">
        <v>177365.59099999999</v>
      </c>
      <c r="E30" s="260">
        <v>706.91399999999999</v>
      </c>
      <c r="F30" s="261">
        <f t="shared" si="8"/>
        <v>1.5812562294124679</v>
      </c>
      <c r="G30" s="262">
        <v>181310.35</v>
      </c>
      <c r="H30" s="260">
        <v>685.15499999999997</v>
      </c>
      <c r="I30" s="261">
        <f t="shared" si="9"/>
        <v>1.4992403848596809</v>
      </c>
      <c r="J30" s="262">
        <v>186067.921</v>
      </c>
      <c r="K30" s="260">
        <v>667.77499999999998</v>
      </c>
      <c r="L30" s="261">
        <f t="shared" si="10"/>
        <v>1.443438696574878</v>
      </c>
      <c r="M30" s="770">
        <v>190178.12700000001</v>
      </c>
      <c r="N30" s="771">
        <v>657.29300000000001</v>
      </c>
      <c r="O30" s="772">
        <f t="shared" si="11"/>
        <v>1.3900746850872077</v>
      </c>
      <c r="P30" s="770">
        <v>191348.609</v>
      </c>
      <c r="Q30" s="771">
        <v>637.56500000000005</v>
      </c>
      <c r="R30" s="772">
        <f t="shared" si="12"/>
        <v>1.3255387141614121</v>
      </c>
      <c r="S30" s="1200">
        <v>194517.82699999999</v>
      </c>
      <c r="T30" s="1201">
        <v>634.17600000000004</v>
      </c>
      <c r="U30" s="1068">
        <f t="shared" si="14"/>
        <v>1.3040984670263667</v>
      </c>
      <c r="V30" s="1231">
        <v>192589.23199999999</v>
      </c>
      <c r="W30" s="1232">
        <v>599.45899999999995</v>
      </c>
      <c r="X30" s="1230">
        <f t="shared" si="13"/>
        <v>1.2623443442454654</v>
      </c>
    </row>
    <row r="31" spans="1:24" ht="15.95" customHeight="1">
      <c r="A31" s="174"/>
      <c r="B31" s="109"/>
      <c r="C31" s="693" t="s">
        <v>156</v>
      </c>
      <c r="D31" s="262">
        <v>12038.36</v>
      </c>
      <c r="E31" s="260">
        <v>14.05</v>
      </c>
      <c r="F31" s="261">
        <f t="shared" si="8"/>
        <v>0.4630352292678318</v>
      </c>
      <c r="G31" s="262">
        <v>13845.98</v>
      </c>
      <c r="H31" s="260">
        <v>14.965999999999999</v>
      </c>
      <c r="I31" s="261">
        <f t="shared" si="9"/>
        <v>0.42883189388450338</v>
      </c>
      <c r="J31" s="262">
        <v>13837.869000000001</v>
      </c>
      <c r="K31" s="260">
        <v>18.16</v>
      </c>
      <c r="L31" s="261">
        <f t="shared" si="10"/>
        <v>0.52782058335080984</v>
      </c>
      <c r="M31" s="770">
        <v>15393.119000000001</v>
      </c>
      <c r="N31" s="771">
        <v>18.788</v>
      </c>
      <c r="O31" s="772">
        <f t="shared" si="11"/>
        <v>0.49090066202257698</v>
      </c>
      <c r="P31" s="770">
        <v>15159.329</v>
      </c>
      <c r="Q31" s="771">
        <v>16.672000000000001</v>
      </c>
      <c r="R31" s="772">
        <f t="shared" si="12"/>
        <v>0.43752309365006398</v>
      </c>
      <c r="S31" s="1200">
        <v>14959.565000000001</v>
      </c>
      <c r="T31" s="1201">
        <v>16.608000000000001</v>
      </c>
      <c r="U31" s="1068">
        <f t="shared" si="14"/>
        <v>0.44407708379220923</v>
      </c>
      <c r="V31" s="1231">
        <v>14483.138000000001</v>
      </c>
      <c r="W31" s="1232">
        <v>17.657</v>
      </c>
      <c r="X31" s="1230">
        <f t="shared" si="13"/>
        <v>0.49442975993492877</v>
      </c>
    </row>
    <row r="32" spans="1:24" ht="15.95" customHeight="1">
      <c r="A32" s="174"/>
      <c r="B32" s="109"/>
      <c r="C32" s="690" t="s">
        <v>321</v>
      </c>
      <c r="D32" s="262">
        <v>9260.2819999999992</v>
      </c>
      <c r="E32" s="260">
        <v>34.57</v>
      </c>
      <c r="F32" s="261">
        <f t="shared" si="8"/>
        <v>1.4810857530181516</v>
      </c>
      <c r="G32" s="262">
        <v>9376.9279999999999</v>
      </c>
      <c r="H32" s="260">
        <v>34.08</v>
      </c>
      <c r="I32" s="261">
        <f t="shared" si="9"/>
        <v>1.4419295493382687</v>
      </c>
      <c r="J32" s="262">
        <v>8701.6569999999992</v>
      </c>
      <c r="K32" s="260">
        <v>30.765999999999998</v>
      </c>
      <c r="L32" s="261">
        <f t="shared" si="10"/>
        <v>1.422030032029254</v>
      </c>
      <c r="M32" s="770">
        <v>8353.0490000000009</v>
      </c>
      <c r="N32" s="771">
        <v>28.486000000000001</v>
      </c>
      <c r="O32" s="772">
        <f t="shared" si="11"/>
        <v>1.3715957602315743</v>
      </c>
      <c r="P32" s="770">
        <v>8533.3799999999992</v>
      </c>
      <c r="Q32" s="771">
        <v>27.957999999999998</v>
      </c>
      <c r="R32" s="772">
        <f t="shared" si="12"/>
        <v>1.3034016695764674</v>
      </c>
      <c r="S32" s="1200">
        <v>9086.848</v>
      </c>
      <c r="T32" s="1201">
        <v>27.451000000000001</v>
      </c>
      <c r="U32" s="1068">
        <f t="shared" si="14"/>
        <v>1.2083838092152526</v>
      </c>
      <c r="V32" s="1231">
        <v>9062.9169999999995</v>
      </c>
      <c r="W32" s="1232">
        <v>27.045999999999999</v>
      </c>
      <c r="X32" s="1230">
        <f t="shared" si="13"/>
        <v>1.2102787166158044</v>
      </c>
    </row>
    <row r="33" spans="1:24" ht="15.95" customHeight="1">
      <c r="A33" s="174"/>
      <c r="B33" s="109"/>
      <c r="C33" s="693" t="s">
        <v>322</v>
      </c>
      <c r="D33" s="264">
        <v>11970.936</v>
      </c>
      <c r="E33" s="263">
        <v>15.885999999999999</v>
      </c>
      <c r="F33" s="261">
        <f t="shared" si="8"/>
        <v>0.526491648279379</v>
      </c>
      <c r="G33" s="264">
        <v>11247.179</v>
      </c>
      <c r="H33" s="263">
        <v>17.957000000000001</v>
      </c>
      <c r="I33" s="261">
        <f t="shared" si="9"/>
        <v>0.63342501841727517</v>
      </c>
      <c r="J33" s="264">
        <v>10748.51</v>
      </c>
      <c r="K33" s="263">
        <v>21.120999999999999</v>
      </c>
      <c r="L33" s="261">
        <f t="shared" si="10"/>
        <v>0.79032533627635626</v>
      </c>
      <c r="M33" s="266">
        <v>10803.755999999999</v>
      </c>
      <c r="N33" s="265">
        <v>22.318000000000001</v>
      </c>
      <c r="O33" s="772">
        <f t="shared" si="11"/>
        <v>0.83084536058113045</v>
      </c>
      <c r="P33" s="266">
        <v>8737.9480000000003</v>
      </c>
      <c r="Q33" s="265">
        <v>20.393999999999998</v>
      </c>
      <c r="R33" s="772">
        <f t="shared" si="12"/>
        <v>0.92850921261963359</v>
      </c>
      <c r="S33" s="1202">
        <v>9868.7330000000002</v>
      </c>
      <c r="T33" s="1203">
        <v>20.693999999999999</v>
      </c>
      <c r="U33" s="1068">
        <f t="shared" si="14"/>
        <v>0.83877028591208203</v>
      </c>
      <c r="V33" s="1231">
        <v>8584.0679999999993</v>
      </c>
      <c r="W33" s="1232">
        <v>25.298999999999999</v>
      </c>
      <c r="X33" s="1230">
        <f t="shared" si="13"/>
        <v>1.1952549770108998</v>
      </c>
    </row>
    <row r="34" spans="1:24" ht="15.95" customHeight="1">
      <c r="A34" s="174"/>
      <c r="B34" s="109"/>
      <c r="C34" s="693" t="s">
        <v>323</v>
      </c>
      <c r="D34" s="266">
        <v>14502.913</v>
      </c>
      <c r="E34" s="265">
        <v>109.053</v>
      </c>
      <c r="F34" s="261">
        <f t="shared" si="8"/>
        <v>2.9832346364695383</v>
      </c>
      <c r="G34" s="266">
        <v>13445.308999999999</v>
      </c>
      <c r="H34" s="265">
        <v>99.07</v>
      </c>
      <c r="I34" s="261">
        <f t="shared" si="9"/>
        <v>2.9233203678825017</v>
      </c>
      <c r="J34" s="266">
        <v>13364.813</v>
      </c>
      <c r="K34" s="265">
        <v>96.228999999999999</v>
      </c>
      <c r="L34" s="261">
        <f t="shared" si="10"/>
        <v>2.895894787880108</v>
      </c>
      <c r="M34" s="266">
        <v>14202.465</v>
      </c>
      <c r="N34" s="265">
        <v>97.42</v>
      </c>
      <c r="O34" s="772">
        <f t="shared" si="11"/>
        <v>2.7588246047506466</v>
      </c>
      <c r="P34" s="266">
        <v>14767.839</v>
      </c>
      <c r="Q34" s="265">
        <v>98.010999999999996</v>
      </c>
      <c r="R34" s="772">
        <f t="shared" si="12"/>
        <v>2.6402869511710989</v>
      </c>
      <c r="S34" s="1202">
        <v>14589.334000000001</v>
      </c>
      <c r="T34" s="1203">
        <v>94.363</v>
      </c>
      <c r="U34" s="1068">
        <f t="shared" si="14"/>
        <v>2.5871777286063913</v>
      </c>
      <c r="V34" s="1231">
        <v>14790.45</v>
      </c>
      <c r="W34" s="1232">
        <v>90.242000000000004</v>
      </c>
      <c r="X34" s="1230">
        <f t="shared" si="13"/>
        <v>2.474444282928812</v>
      </c>
    </row>
    <row r="35" spans="1:24" ht="15.95" customHeight="1" thickBot="1">
      <c r="A35" s="174"/>
      <c r="B35" s="109"/>
      <c r="C35" s="691" t="s">
        <v>324</v>
      </c>
      <c r="D35" s="268">
        <v>4899.9750000000004</v>
      </c>
      <c r="E35" s="267">
        <v>31.526</v>
      </c>
      <c r="F35" s="261">
        <f>E35/D35*365/92*100</f>
        <v>2.5525840083035023</v>
      </c>
      <c r="G35" s="268">
        <v>4340.4040000000005</v>
      </c>
      <c r="H35" s="267">
        <v>30.067</v>
      </c>
      <c r="I35" s="261">
        <f>H35/G35*365/92*100</f>
        <v>2.7483053270577136</v>
      </c>
      <c r="J35" s="268">
        <v>4276.5150000000003</v>
      </c>
      <c r="K35" s="267">
        <v>27.190999999999999</v>
      </c>
      <c r="L35" s="261">
        <f>K35/J35*366/91*100</f>
        <v>2.5572599276655028</v>
      </c>
      <c r="M35" s="773">
        <v>3945.8380000000002</v>
      </c>
      <c r="N35" s="774">
        <v>24.95</v>
      </c>
      <c r="O35" s="772">
        <f>N35/M35*366/91*100</f>
        <v>2.5431442357327296</v>
      </c>
      <c r="P35" s="773">
        <v>3836.2629999999999</v>
      </c>
      <c r="Q35" s="774">
        <v>24.533999999999999</v>
      </c>
      <c r="R35" s="772">
        <f>Q35/P35*366/92*100</f>
        <v>2.5442117022194006</v>
      </c>
      <c r="S35" s="1204">
        <v>3747.3319999999999</v>
      </c>
      <c r="T35" s="1205">
        <v>23.78</v>
      </c>
      <c r="U35" s="1068">
        <f t="shared" si="14"/>
        <v>2.5383392771176938</v>
      </c>
      <c r="V35" s="1233">
        <v>3715.7530000000002</v>
      </c>
      <c r="W35" s="1234">
        <v>27.988</v>
      </c>
      <c r="X35" s="1230">
        <f t="shared" si="13"/>
        <v>3.0547479579210162</v>
      </c>
    </row>
    <row r="36" spans="1:24" ht="15.95" customHeight="1">
      <c r="A36" s="174"/>
      <c r="B36" s="109"/>
      <c r="C36" s="712" t="s">
        <v>325</v>
      </c>
      <c r="D36" s="775" t="s">
        <v>2</v>
      </c>
      <c r="E36" s="776" t="s">
        <v>2</v>
      </c>
      <c r="F36" s="269">
        <f>F26-F29</f>
        <v>1.3474883919238343</v>
      </c>
      <c r="G36" s="775" t="s">
        <v>2</v>
      </c>
      <c r="H36" s="776" t="s">
        <v>2</v>
      </c>
      <c r="I36" s="269">
        <f>I26-I29</f>
        <v>1.3661524898950452</v>
      </c>
      <c r="J36" s="775" t="s">
        <v>2</v>
      </c>
      <c r="K36" s="776" t="s">
        <v>2</v>
      </c>
      <c r="L36" s="269">
        <f>L26-L29</f>
        <v>1.4034186805298585</v>
      </c>
      <c r="M36" s="775" t="s">
        <v>399</v>
      </c>
      <c r="N36" s="776" t="s">
        <v>399</v>
      </c>
      <c r="O36" s="777">
        <f>O26-O29</f>
        <v>1.3953519286882945</v>
      </c>
      <c r="P36" s="775" t="s">
        <v>399</v>
      </c>
      <c r="Q36" s="776" t="s">
        <v>399</v>
      </c>
      <c r="R36" s="777">
        <f>R26-R29</f>
        <v>1.3846244800703782</v>
      </c>
      <c r="S36" s="1206" t="s">
        <v>399</v>
      </c>
      <c r="T36" s="1207" t="s">
        <v>399</v>
      </c>
      <c r="U36" s="1069">
        <f>U26-U29</f>
        <v>1.3456886343869288</v>
      </c>
      <c r="V36" s="1235" t="s">
        <v>2</v>
      </c>
      <c r="W36" s="1236" t="s">
        <v>2</v>
      </c>
      <c r="X36" s="1237">
        <f>X26-X29</f>
        <v>1.4106833580808396</v>
      </c>
    </row>
    <row r="37" spans="1:24" ht="15.95" customHeight="1">
      <c r="A37" s="174"/>
      <c r="B37" s="109"/>
      <c r="C37" s="713" t="s">
        <v>326</v>
      </c>
      <c r="D37" s="272" t="s">
        <v>2</v>
      </c>
      <c r="E37" s="270" t="s">
        <v>2</v>
      </c>
      <c r="F37" s="271">
        <f>F27-F30</f>
        <v>1.7058794812299638</v>
      </c>
      <c r="G37" s="272" t="s">
        <v>2</v>
      </c>
      <c r="H37" s="270" t="s">
        <v>2</v>
      </c>
      <c r="I37" s="271">
        <f>I27-I30</f>
        <v>1.690528591419215</v>
      </c>
      <c r="J37" s="272" t="s">
        <v>2</v>
      </c>
      <c r="K37" s="270" t="s">
        <v>2</v>
      </c>
      <c r="L37" s="271">
        <f>L27-L30</f>
        <v>1.7238317938388625</v>
      </c>
      <c r="M37" s="272" t="s">
        <v>399</v>
      </c>
      <c r="N37" s="270" t="s">
        <v>399</v>
      </c>
      <c r="O37" s="271">
        <f>O27-O30</f>
        <v>1.7224772589303377</v>
      </c>
      <c r="P37" s="272" t="s">
        <v>399</v>
      </c>
      <c r="Q37" s="270" t="s">
        <v>399</v>
      </c>
      <c r="R37" s="271">
        <f>R27-R30</f>
        <v>1.6909299049037139</v>
      </c>
      <c r="S37" s="1208" t="s">
        <v>399</v>
      </c>
      <c r="T37" s="1209" t="s">
        <v>399</v>
      </c>
      <c r="U37" s="1070">
        <f>U27-U30</f>
        <v>1.6695204492789846</v>
      </c>
      <c r="V37" s="1238" t="s">
        <v>2</v>
      </c>
      <c r="W37" s="1239" t="s">
        <v>2</v>
      </c>
      <c r="X37" s="1240">
        <f>X27-X30</f>
        <v>1.7407593263024104</v>
      </c>
    </row>
    <row r="38" spans="1:24" ht="15.95" customHeight="1">
      <c r="A38" s="174"/>
      <c r="B38" s="109"/>
      <c r="C38" s="713" t="s">
        <v>327</v>
      </c>
      <c r="D38" s="272" t="s">
        <v>2</v>
      </c>
      <c r="E38" s="270" t="s">
        <v>2</v>
      </c>
      <c r="F38" s="271">
        <f>F28-F31</f>
        <v>0.97584672853895815</v>
      </c>
      <c r="G38" s="272" t="s">
        <v>2</v>
      </c>
      <c r="H38" s="270" t="s">
        <v>2</v>
      </c>
      <c r="I38" s="271">
        <f>I28-I31</f>
        <v>1.0795438640867396</v>
      </c>
      <c r="J38" s="272" t="s">
        <v>2</v>
      </c>
      <c r="K38" s="270" t="s">
        <v>2</v>
      </c>
      <c r="L38" s="271">
        <f>L28-L31</f>
        <v>1.1997258297827276</v>
      </c>
      <c r="M38" s="272" t="s">
        <v>399</v>
      </c>
      <c r="N38" s="270" t="s">
        <v>399</v>
      </c>
      <c r="O38" s="271">
        <f>O28-O31</f>
        <v>1.124869768212998</v>
      </c>
      <c r="P38" s="272" t="s">
        <v>399</v>
      </c>
      <c r="Q38" s="270" t="s">
        <v>399</v>
      </c>
      <c r="R38" s="271">
        <f>R28-R31</f>
        <v>1.3714934502183429</v>
      </c>
      <c r="S38" s="1208" t="s">
        <v>399</v>
      </c>
      <c r="T38" s="1209" t="s">
        <v>399</v>
      </c>
      <c r="U38" s="1070">
        <f>U28-U31</f>
        <v>1.2689662526944812</v>
      </c>
      <c r="V38" s="1238" t="s">
        <v>2</v>
      </c>
      <c r="W38" s="1239" t="s">
        <v>2</v>
      </c>
      <c r="X38" s="1240">
        <f>X28-X31</f>
        <v>1.503350093028069</v>
      </c>
    </row>
    <row r="39" spans="1:24" ht="15.95" customHeight="1">
      <c r="A39" s="174"/>
      <c r="B39" s="109"/>
      <c r="C39" s="714" t="s">
        <v>328</v>
      </c>
      <c r="D39" s="275">
        <v>240042.361</v>
      </c>
      <c r="E39" s="273">
        <v>834.71900000000005</v>
      </c>
      <c r="F39" s="274">
        <f>E39/D39*365/92*100</f>
        <v>1.3796135350351404</v>
      </c>
      <c r="G39" s="275">
        <v>244193.57399999999</v>
      </c>
      <c r="H39" s="273">
        <v>861.70600000000002</v>
      </c>
      <c r="I39" s="274">
        <f>H39/G39*365/92*100</f>
        <v>1.4000060834132955</v>
      </c>
      <c r="J39" s="275">
        <v>247442.196</v>
      </c>
      <c r="K39" s="273">
        <v>884.02200000000005</v>
      </c>
      <c r="L39" s="274">
        <f>K39/J39*366/91*100</f>
        <v>1.4369081395256671</v>
      </c>
      <c r="M39" s="275">
        <v>251271.087</v>
      </c>
      <c r="N39" s="273">
        <v>884.82199999999989</v>
      </c>
      <c r="O39" s="274">
        <f>N39/M39*366/91*100</f>
        <v>1.4162929288249695</v>
      </c>
      <c r="P39" s="275">
        <v>251373.823</v>
      </c>
      <c r="Q39" s="273">
        <v>890.46299999999997</v>
      </c>
      <c r="R39" s="274">
        <f>Q39/P39*366/92*100</f>
        <v>1.4092533846277429</v>
      </c>
      <c r="S39" s="1210">
        <v>256510.617</v>
      </c>
      <c r="T39" s="1211">
        <v>879.81299999999999</v>
      </c>
      <c r="U39" s="1071">
        <f t="shared" ref="U39:U41" si="15">T39/S39*4*100</f>
        <v>1.3719712817968857</v>
      </c>
      <c r="V39" s="1241">
        <v>251987.264</v>
      </c>
      <c r="W39" s="1242">
        <v>892.26099999999997</v>
      </c>
      <c r="X39" s="1230">
        <f t="shared" si="13"/>
        <v>1.436030535081152</v>
      </c>
    </row>
    <row r="40" spans="1:24" ht="15.95" customHeight="1">
      <c r="A40" s="174"/>
      <c r="B40" s="109"/>
      <c r="C40" s="713" t="s">
        <v>329</v>
      </c>
      <c r="D40" s="275">
        <v>211196.36300000001</v>
      </c>
      <c r="E40" s="273">
        <v>800.47900000000004</v>
      </c>
      <c r="F40" s="274">
        <f>E40/D40*365/92*100</f>
        <v>1.5037254329578789</v>
      </c>
      <c r="G40" s="275">
        <v>216220.75099999999</v>
      </c>
      <c r="H40" s="273">
        <v>829.75099999999998</v>
      </c>
      <c r="I40" s="274">
        <f>H40/G40*365/92*100</f>
        <v>1.5224935104281054</v>
      </c>
      <c r="J40" s="275">
        <v>220129.234</v>
      </c>
      <c r="K40" s="273">
        <v>846.32140000000004</v>
      </c>
      <c r="L40" s="274">
        <f>K40/J40*366/91*100</f>
        <v>1.5463125948685537</v>
      </c>
      <c r="M40" s="275">
        <v>223120.992</v>
      </c>
      <c r="N40" s="273">
        <v>848.97</v>
      </c>
      <c r="O40" s="274">
        <f>N40/M40*366/91*100</f>
        <v>1.5303529491831416</v>
      </c>
      <c r="P40" s="275">
        <v>225105.11499999999</v>
      </c>
      <c r="Q40" s="273">
        <v>845.178</v>
      </c>
      <c r="R40" s="274">
        <f>Q40/P40*366/92*100</f>
        <v>1.4936748839391727</v>
      </c>
      <c r="S40" s="1210">
        <v>228124.772</v>
      </c>
      <c r="T40" s="1211">
        <v>829.97500000000002</v>
      </c>
      <c r="U40" s="1071">
        <f t="shared" si="15"/>
        <v>1.4553000846396462</v>
      </c>
      <c r="V40" s="1241">
        <v>226327.158</v>
      </c>
      <c r="W40" s="1242">
        <v>849.59299999999996</v>
      </c>
      <c r="X40" s="1230">
        <f t="shared" si="13"/>
        <v>1.5223854006557669</v>
      </c>
    </row>
    <row r="41" spans="1:24" ht="15.95" customHeight="1" thickBot="1">
      <c r="A41" s="174"/>
      <c r="B41" s="109"/>
      <c r="C41" s="691" t="s">
        <v>330</v>
      </c>
      <c r="D41" s="278">
        <v>28845.999</v>
      </c>
      <c r="E41" s="276">
        <v>34.241</v>
      </c>
      <c r="F41" s="277">
        <f>E41/D41*365/92*100</f>
        <v>0.47094033960194592</v>
      </c>
      <c r="G41" s="278">
        <v>27972.823</v>
      </c>
      <c r="H41" s="276">
        <v>31.954000000000001</v>
      </c>
      <c r="I41" s="277">
        <f>H41/G41*365/92*100</f>
        <v>0.45320424663299241</v>
      </c>
      <c r="J41" s="278">
        <v>27312.962</v>
      </c>
      <c r="K41" s="276">
        <v>37.643000000000001</v>
      </c>
      <c r="L41" s="277">
        <f>K41/J41*366/91*100</f>
        <v>0.55431307187158496</v>
      </c>
      <c r="M41" s="778">
        <v>28150.095000000001</v>
      </c>
      <c r="N41" s="779">
        <v>35.850999999999999</v>
      </c>
      <c r="O41" s="942">
        <f>N41/M41*366/91*100</f>
        <v>0.51222539059258609</v>
      </c>
      <c r="P41" s="778">
        <v>26268.707999999999</v>
      </c>
      <c r="Q41" s="779">
        <v>45.284999999999997</v>
      </c>
      <c r="R41" s="942">
        <f>Q41/P41*366/92*100</f>
        <v>0.68581805956448583</v>
      </c>
      <c r="S41" s="1212">
        <v>28385.845000000001</v>
      </c>
      <c r="T41" s="1213">
        <v>49.838000000000001</v>
      </c>
      <c r="U41" s="1073">
        <f t="shared" si="15"/>
        <v>0.70229369603053915</v>
      </c>
      <c r="V41" s="1243">
        <v>25660.106</v>
      </c>
      <c r="W41" s="1244">
        <v>42.668700000000001</v>
      </c>
      <c r="X41" s="1245">
        <f t="shared" si="13"/>
        <v>0.67437477979761018</v>
      </c>
    </row>
    <row r="42" spans="1:24" ht="9" customHeight="1">
      <c r="A42" s="174"/>
      <c r="B42" s="109"/>
      <c r="C42" s="518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</row>
    <row r="43" spans="1:24">
      <c r="A43" s="189"/>
      <c r="B43" s="190"/>
      <c r="C43" s="202" t="s">
        <v>167</v>
      </c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</row>
    <row r="44" spans="1:24">
      <c r="A44" s="189"/>
      <c r="B44" s="190"/>
      <c r="C44" s="4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</row>
    <row r="45" spans="1:24">
      <c r="A45" s="189"/>
      <c r="B45" s="190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</row>
    <row r="46" spans="1:24">
      <c r="A46" s="190"/>
      <c r="B46" s="190"/>
      <c r="C46" s="200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</row>
    <row r="47" spans="1:24">
      <c r="A47" s="190"/>
      <c r="B47" s="190"/>
      <c r="C47" s="200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</row>
    <row r="48" spans="1:24">
      <c r="A48" s="190"/>
      <c r="B48" s="190"/>
      <c r="C48" s="444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</row>
    <row r="49" spans="1:24">
      <c r="A49" s="190"/>
      <c r="B49" s="190"/>
      <c r="C49" s="200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</row>
    <row r="50" spans="1:24">
      <c r="A50" s="190"/>
      <c r="B50" s="190"/>
      <c r="C50" s="200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</row>
    <row r="51" spans="1:24">
      <c r="A51" s="190"/>
      <c r="B51" s="190"/>
      <c r="C51" s="200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</row>
    <row r="52" spans="1:24">
      <c r="A52" s="190"/>
      <c r="B52" s="190"/>
      <c r="C52" s="444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</row>
    <row r="53" spans="1:24">
      <c r="A53" s="190"/>
      <c r="B53" s="190"/>
      <c r="C53" s="200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</row>
    <row r="54" spans="1:24">
      <c r="A54" s="190"/>
      <c r="B54" s="190"/>
      <c r="C54" s="200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</row>
    <row r="55" spans="1:24">
      <c r="A55" s="190"/>
      <c r="B55" s="190"/>
      <c r="C55" s="200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</row>
    <row r="56" spans="1:24">
      <c r="A56" s="190"/>
      <c r="B56" s="190"/>
      <c r="C56" s="202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</row>
    <row r="57" spans="1:24">
      <c r="A57" s="190"/>
      <c r="B57" s="190"/>
      <c r="C57" s="445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</row>
    <row r="58" spans="1:24">
      <c r="A58" s="190"/>
      <c r="B58" s="190"/>
      <c r="C58" s="445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</row>
    <row r="59" spans="1:24">
      <c r="A59" s="27"/>
      <c r="B59" s="27"/>
      <c r="C59" s="445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ht="19.5">
      <c r="A61" s="27"/>
      <c r="B61" s="27"/>
      <c r="C61" s="205"/>
      <c r="D61" s="205"/>
      <c r="E61" s="205"/>
      <c r="F61" s="205"/>
      <c r="G61" s="205"/>
      <c r="H61" s="205"/>
      <c r="I61" s="205"/>
      <c r="J61" s="205"/>
      <c r="K61" s="205"/>
      <c r="L61" s="205"/>
      <c r="M61" s="205"/>
      <c r="N61" s="205"/>
      <c r="O61" s="205"/>
      <c r="P61" s="941"/>
      <c r="Q61" s="941"/>
      <c r="R61" s="941"/>
      <c r="S61" s="947"/>
      <c r="T61" s="947"/>
      <c r="U61" s="947"/>
      <c r="V61" s="205"/>
      <c r="W61" s="205"/>
      <c r="X61" s="205"/>
    </row>
    <row r="62" spans="1:24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ht="18">
      <c r="A64" s="27"/>
      <c r="B64" s="27"/>
      <c r="C64" s="206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</row>
    <row r="65" spans="1:24" ht="15.75">
      <c r="A65" s="27"/>
      <c r="B65" s="27"/>
      <c r="C65" s="446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</row>
    <row r="66" spans="1:24">
      <c r="A66" s="190"/>
      <c r="B66" s="190"/>
      <c r="C66" s="210"/>
      <c r="D66" s="442"/>
      <c r="E66" s="442"/>
      <c r="F66" s="442"/>
      <c r="G66" s="442"/>
      <c r="H66" s="442"/>
      <c r="I66" s="442"/>
      <c r="J66" s="442"/>
      <c r="K66" s="442"/>
      <c r="L66" s="442"/>
      <c r="M66" s="442"/>
      <c r="N66" s="442"/>
      <c r="O66" s="442"/>
      <c r="P66" s="442"/>
      <c r="Q66" s="442"/>
      <c r="R66" s="442"/>
      <c r="S66" s="442"/>
      <c r="T66" s="442"/>
      <c r="U66" s="442"/>
      <c r="V66" s="442"/>
      <c r="W66" s="442"/>
      <c r="X66" s="442"/>
    </row>
    <row r="67" spans="1:24">
      <c r="A67" s="190"/>
      <c r="B67" s="190"/>
      <c r="C67" s="44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</row>
    <row r="68" spans="1:24">
      <c r="A68" s="190"/>
      <c r="B68" s="190"/>
      <c r="C68" s="200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</row>
    <row r="69" spans="1:24">
      <c r="A69" s="190"/>
      <c r="B69" s="190"/>
      <c r="C69" s="200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</row>
    <row r="70" spans="1:24">
      <c r="A70" s="190"/>
      <c r="B70" s="190"/>
      <c r="C70" s="200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</row>
    <row r="71" spans="1:24">
      <c r="A71" s="190"/>
      <c r="B71" s="190"/>
      <c r="C71" s="200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</row>
    <row r="72" spans="1:24">
      <c r="A72" s="190"/>
      <c r="B72" s="190"/>
      <c r="C72" s="200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</row>
    <row r="73" spans="1:24">
      <c r="A73" s="190"/>
      <c r="B73" s="190"/>
      <c r="C73" s="444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</row>
    <row r="74" spans="1:24">
      <c r="A74" s="190"/>
      <c r="B74" s="190"/>
      <c r="C74" s="200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</row>
    <row r="75" spans="1:24">
      <c r="A75" s="190"/>
      <c r="B75" s="190"/>
      <c r="C75" s="200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</row>
    <row r="76" spans="1:24">
      <c r="A76" s="190"/>
      <c r="B76" s="190"/>
      <c r="C76" s="200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</row>
    <row r="77" spans="1:24">
      <c r="A77" s="190"/>
      <c r="B77" s="190"/>
      <c r="C77" s="444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</row>
    <row r="78" spans="1:24">
      <c r="A78" s="190"/>
      <c r="B78" s="190"/>
      <c r="C78" s="200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</row>
    <row r="79" spans="1:24">
      <c r="A79" s="190"/>
      <c r="B79" s="190"/>
      <c r="C79" s="200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</row>
    <row r="80" spans="1:24">
      <c r="A80" s="190"/>
      <c r="B80" s="190"/>
      <c r="C80" s="200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</row>
    <row r="81" spans="1:24">
      <c r="A81" s="190"/>
      <c r="B81" s="190"/>
      <c r="C81" s="200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</row>
    <row r="82" spans="1:24">
      <c r="A82" s="190"/>
      <c r="B82" s="190"/>
      <c r="C82" s="200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</row>
    <row r="83" spans="1:24">
      <c r="A83" s="190"/>
      <c r="B83" s="190"/>
      <c r="C83" s="202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</row>
    <row r="84" spans="1:24" ht="15.75">
      <c r="A84" s="27"/>
      <c r="B84" s="27"/>
      <c r="C84" s="446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</row>
    <row r="85" spans="1:24">
      <c r="A85" s="190"/>
      <c r="B85" s="190"/>
      <c r="C85" s="210"/>
      <c r="D85" s="442"/>
      <c r="E85" s="442"/>
      <c r="F85" s="442"/>
      <c r="G85" s="442"/>
      <c r="H85" s="442"/>
      <c r="I85" s="442"/>
      <c r="J85" s="442"/>
      <c r="K85" s="442"/>
      <c r="L85" s="442"/>
      <c r="M85" s="442"/>
      <c r="N85" s="442"/>
      <c r="O85" s="442"/>
      <c r="P85" s="442"/>
      <c r="Q85" s="442"/>
      <c r="R85" s="442"/>
      <c r="S85" s="442"/>
      <c r="T85" s="442"/>
      <c r="U85" s="442"/>
      <c r="V85" s="442"/>
      <c r="W85" s="442"/>
      <c r="X85" s="442"/>
    </row>
    <row r="86" spans="1:24">
      <c r="A86" s="190"/>
      <c r="B86" s="190"/>
      <c r="C86" s="44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</row>
    <row r="87" spans="1:24">
      <c r="A87" s="190"/>
      <c r="B87" s="190"/>
      <c r="C87" s="200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</row>
    <row r="88" spans="1:24">
      <c r="A88" s="190"/>
      <c r="B88" s="190"/>
      <c r="C88" s="200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</row>
    <row r="89" spans="1:24">
      <c r="A89" s="190"/>
      <c r="B89" s="190"/>
      <c r="C89" s="200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</row>
    <row r="90" spans="1:24">
      <c r="A90" s="190"/>
      <c r="B90" s="190"/>
      <c r="C90" s="200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</row>
    <row r="91" spans="1:24">
      <c r="A91" s="190"/>
      <c r="B91" s="190"/>
      <c r="C91" s="200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</row>
    <row r="92" spans="1:24">
      <c r="A92" s="190"/>
      <c r="B92" s="190"/>
      <c r="C92" s="444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</row>
    <row r="93" spans="1:24">
      <c r="A93" s="190"/>
      <c r="B93" s="190"/>
      <c r="C93" s="200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</row>
    <row r="94" spans="1:24">
      <c r="A94" s="190"/>
      <c r="B94" s="190"/>
      <c r="C94" s="200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</row>
    <row r="95" spans="1:24">
      <c r="A95" s="190"/>
      <c r="B95" s="190"/>
      <c r="C95" s="200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</row>
    <row r="96" spans="1:24">
      <c r="A96" s="190"/>
      <c r="B96" s="190"/>
      <c r="C96" s="444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</row>
    <row r="97" spans="1:24">
      <c r="A97" s="190"/>
      <c r="B97" s="190"/>
      <c r="C97" s="200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</row>
    <row r="98" spans="1:24">
      <c r="A98" s="190"/>
      <c r="B98" s="190"/>
      <c r="C98" s="200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</row>
    <row r="99" spans="1:24">
      <c r="A99" s="190"/>
      <c r="B99" s="190"/>
      <c r="C99" s="200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</row>
    <row r="100" spans="1:24">
      <c r="A100" s="190"/>
      <c r="B100" s="190"/>
      <c r="C100" s="202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</row>
    <row r="101" spans="1:24">
      <c r="A101" s="190"/>
      <c r="B101" s="190"/>
      <c r="C101" s="445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</row>
    <row r="102" spans="1:24">
      <c r="A102" s="190"/>
      <c r="B102" s="190"/>
      <c r="C102" s="445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</row>
    <row r="103" spans="1:24">
      <c r="A103" s="27"/>
      <c r="B103" s="27"/>
      <c r="C103" s="445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1:24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1:24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</sheetData>
  <mergeCells count="14">
    <mergeCell ref="G4:I4"/>
    <mergeCell ref="G24:I24"/>
    <mergeCell ref="D4:F4"/>
    <mergeCell ref="D24:F24"/>
    <mergeCell ref="J4:L4"/>
    <mergeCell ref="J24:L24"/>
    <mergeCell ref="S4:U4"/>
    <mergeCell ref="S24:U24"/>
    <mergeCell ref="V4:X4"/>
    <mergeCell ref="V24:X24"/>
    <mergeCell ref="M4:O4"/>
    <mergeCell ref="M24:O24"/>
    <mergeCell ref="P4:R4"/>
    <mergeCell ref="P24:R24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verticalDpi="0" r:id="rId1"/>
  <headerFooter>
    <oddHeader>&amp;R&amp;"Trebuchet MS,보통"&amp;12
www.wooribank.com</oddHeader>
    <oddFooter>&amp;R&amp;"Trebuchet MS,보통"Page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showGridLines="0" view="pageBreakPreview" zoomScale="80" zoomScaleNormal="90" zoomScaleSheetLayoutView="80" workbookViewId="0">
      <selection activeCell="S28" sqref="S28"/>
    </sheetView>
  </sheetViews>
  <sheetFormatPr defaultRowHeight="15"/>
  <cols>
    <col min="1" max="1" width="20.5703125" style="77" customWidth="1"/>
    <col min="2" max="2" width="2.7109375" style="77" customWidth="1"/>
    <col min="3" max="3" width="21.5703125" style="77" customWidth="1"/>
    <col min="4" max="19" width="9.140625" style="77" customWidth="1"/>
    <col min="20" max="20" width="1.42578125" style="77" customWidth="1"/>
    <col min="21" max="22" width="9.140625" style="77" customWidth="1"/>
    <col min="23" max="23" width="2.28515625" style="77" customWidth="1"/>
    <col min="24" max="25" width="9.140625" style="77"/>
    <col min="26" max="26" width="12.7109375" style="77" bestFit="1" customWidth="1"/>
    <col min="27" max="16384" width="9.140625" style="77"/>
  </cols>
  <sheetData>
    <row r="1" spans="1:23" s="283" customFormat="1" ht="30" customHeight="1">
      <c r="A1" s="827"/>
      <c r="B1" s="282"/>
      <c r="C1" s="1332" t="s">
        <v>442</v>
      </c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333"/>
      <c r="Q1" s="1333"/>
      <c r="R1" s="1333"/>
      <c r="S1" s="1333"/>
      <c r="T1" s="1333"/>
      <c r="U1" s="1333"/>
      <c r="V1" s="564"/>
      <c r="W1" s="564"/>
    </row>
    <row r="2" spans="1:23" ht="18">
      <c r="A2" s="169"/>
      <c r="C2" s="563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</row>
    <row r="3" spans="1:23" ht="18">
      <c r="A3" s="169"/>
      <c r="C3" s="171"/>
    </row>
    <row r="4" spans="1:23" ht="27.75" customHeight="1">
      <c r="A4" s="169"/>
      <c r="C4" s="632"/>
      <c r="D4" s="173"/>
      <c r="F4" s="173"/>
      <c r="H4" s="173"/>
      <c r="J4" s="173"/>
      <c r="L4" s="173"/>
      <c r="N4" s="173"/>
      <c r="P4" s="173"/>
      <c r="R4" s="173"/>
      <c r="U4" s="173"/>
    </row>
    <row r="5" spans="1:23" ht="17.25">
      <c r="A5" s="169"/>
      <c r="C5" s="632"/>
      <c r="D5" s="173"/>
      <c r="F5" s="173"/>
      <c r="H5" s="173"/>
      <c r="J5" s="173"/>
      <c r="L5" s="173"/>
      <c r="N5" s="173"/>
      <c r="P5" s="173"/>
      <c r="R5" s="173"/>
      <c r="U5" s="173"/>
    </row>
    <row r="6" spans="1:23" s="109" customFormat="1" ht="24" customHeight="1">
      <c r="A6" s="174"/>
      <c r="C6" s="285" t="s">
        <v>3</v>
      </c>
      <c r="D6" s="1319" t="s">
        <v>445</v>
      </c>
      <c r="E6" s="1319"/>
      <c r="F6" s="1319" t="s">
        <v>474</v>
      </c>
      <c r="G6" s="1319"/>
      <c r="H6" s="1319" t="s">
        <v>479</v>
      </c>
      <c r="I6" s="1319"/>
      <c r="J6" s="1319" t="s">
        <v>481</v>
      </c>
      <c r="K6" s="1319"/>
      <c r="L6" s="1319" t="s">
        <v>501</v>
      </c>
      <c r="M6" s="1319"/>
      <c r="N6" s="1319" t="s">
        <v>498</v>
      </c>
      <c r="O6" s="1319"/>
      <c r="P6" s="1319" t="s">
        <v>504</v>
      </c>
      <c r="Q6" s="1319"/>
      <c r="R6" s="1058"/>
      <c r="S6" s="306" t="s">
        <v>510</v>
      </c>
      <c r="T6" s="306"/>
      <c r="U6" s="1319" t="s">
        <v>528</v>
      </c>
      <c r="V6" s="1319"/>
    </row>
    <row r="7" spans="1:23" s="109" customFormat="1" ht="24" customHeight="1">
      <c r="A7" s="174"/>
      <c r="C7" s="499" t="s">
        <v>168</v>
      </c>
      <c r="D7" s="906" t="s">
        <v>191</v>
      </c>
      <c r="E7" s="907" t="s">
        <v>1</v>
      </c>
      <c r="F7" s="906" t="s">
        <v>480</v>
      </c>
      <c r="G7" s="907" t="s">
        <v>190</v>
      </c>
      <c r="H7" s="715" t="s">
        <v>191</v>
      </c>
      <c r="I7" s="957" t="s">
        <v>1</v>
      </c>
      <c r="J7" s="715" t="s">
        <v>191</v>
      </c>
      <c r="K7" s="715" t="s">
        <v>1</v>
      </c>
      <c r="L7" s="958" t="s">
        <v>191</v>
      </c>
      <c r="M7" s="957" t="s">
        <v>1</v>
      </c>
      <c r="N7" s="715" t="s">
        <v>191</v>
      </c>
      <c r="O7" s="715" t="s">
        <v>1</v>
      </c>
      <c r="P7" s="958" t="s">
        <v>191</v>
      </c>
      <c r="Q7" s="957" t="s">
        <v>1</v>
      </c>
      <c r="R7" s="715" t="s">
        <v>191</v>
      </c>
      <c r="S7" s="715" t="s">
        <v>1</v>
      </c>
      <c r="T7" s="715"/>
      <c r="U7" s="958" t="s">
        <v>376</v>
      </c>
      <c r="V7" s="959" t="s">
        <v>1</v>
      </c>
    </row>
    <row r="8" spans="1:23" s="109" customFormat="1" ht="32.25" customHeight="1">
      <c r="A8" s="174"/>
      <c r="C8" s="693" t="s">
        <v>169</v>
      </c>
      <c r="D8" s="659">
        <v>202370.7</v>
      </c>
      <c r="E8" s="660">
        <f>D8/D13*100</f>
        <v>96.734637687325005</v>
      </c>
      <c r="F8" s="646">
        <v>208439.4</v>
      </c>
      <c r="G8" s="647">
        <f>F8/F13*100</f>
        <v>96.981576983419473</v>
      </c>
      <c r="H8" s="924">
        <v>217899.6</v>
      </c>
      <c r="I8" s="925">
        <f>H8/H13*100</f>
        <v>97.099833428249823</v>
      </c>
      <c r="J8" s="646">
        <v>217573.1</v>
      </c>
      <c r="K8" s="925">
        <f>J8/J13*100</f>
        <v>97.459032805559076</v>
      </c>
      <c r="L8" s="924">
        <v>221631.6</v>
      </c>
      <c r="M8" s="925">
        <f>L8/L13*100</f>
        <v>97.683262226296677</v>
      </c>
      <c r="N8" s="924">
        <v>226313.3</v>
      </c>
      <c r="O8" s="925">
        <f>N8/N13*100</f>
        <v>97.839740746408935</v>
      </c>
      <c r="P8" s="924">
        <v>223493</v>
      </c>
      <c r="Q8" s="925">
        <f>P8/P13*100</f>
        <v>97.908417934404994</v>
      </c>
      <c r="R8" s="1143">
        <v>227039.5</v>
      </c>
      <c r="S8" s="1074">
        <f>R8/R13*100</f>
        <v>98.188635384279792</v>
      </c>
      <c r="T8" s="1144"/>
      <c r="U8" s="1246">
        <v>226544.1</v>
      </c>
      <c r="V8" s="1247">
        <f>U8/U13*100</f>
        <v>98.355460813087205</v>
      </c>
    </row>
    <row r="9" spans="1:23" s="109" customFormat="1" ht="32.25" customHeight="1">
      <c r="A9" s="174"/>
      <c r="C9" s="693" t="s">
        <v>170</v>
      </c>
      <c r="D9" s="659">
        <v>2777</v>
      </c>
      <c r="E9" s="660">
        <f>D9/D13*100</f>
        <v>1.3274258025381223</v>
      </c>
      <c r="F9" s="646">
        <v>2780.5</v>
      </c>
      <c r="G9" s="647">
        <f>F9/F13*100</f>
        <v>1.2936962724053027</v>
      </c>
      <c r="H9" s="924">
        <v>2804.8</v>
      </c>
      <c r="I9" s="925">
        <f>H9/H13*100</f>
        <v>1.2498674288505125</v>
      </c>
      <c r="J9" s="646">
        <v>2374.3000000000002</v>
      </c>
      <c r="K9" s="925">
        <f>J9/J13*100</f>
        <v>1.0635367220958791</v>
      </c>
      <c r="L9" s="924">
        <v>2100.6999999999998</v>
      </c>
      <c r="M9" s="925">
        <f>L9/L13*100</f>
        <v>0.92587532174464926</v>
      </c>
      <c r="N9" s="924">
        <v>2168</v>
      </c>
      <c r="O9" s="925">
        <f>N9/N13*100</f>
        <v>0.9372695194591506</v>
      </c>
      <c r="P9" s="924">
        <v>2328.1</v>
      </c>
      <c r="Q9" s="925">
        <f>P9/P13*100</f>
        <v>1.0199003449463218</v>
      </c>
      <c r="R9" s="1143">
        <v>1906.4</v>
      </c>
      <c r="S9" s="1074">
        <f>R9/R13*100</f>
        <v>0.8244680529008872</v>
      </c>
      <c r="T9" s="1144"/>
      <c r="U9" s="1246">
        <v>1780.8</v>
      </c>
      <c r="V9" s="1247">
        <f>U9/U13*100</f>
        <v>0.77314485177917092</v>
      </c>
    </row>
    <row r="10" spans="1:23" s="109" customFormat="1" ht="32.25" customHeight="1">
      <c r="A10" s="174"/>
      <c r="C10" s="693" t="s">
        <v>171</v>
      </c>
      <c r="D10" s="659">
        <v>2269.4</v>
      </c>
      <c r="E10" s="660">
        <f>D10/D13*100</f>
        <v>1.084789382888014</v>
      </c>
      <c r="F10" s="646">
        <v>2207.6</v>
      </c>
      <c r="G10" s="647">
        <f>F10/F13*100</f>
        <v>1.0271404031512124</v>
      </c>
      <c r="H10" s="924">
        <v>1986.4</v>
      </c>
      <c r="I10" s="925">
        <f>H10/H13*100</f>
        <v>0.88517422299937887</v>
      </c>
      <c r="J10" s="646">
        <v>1555.2</v>
      </c>
      <c r="K10" s="925">
        <f>J10/J13*100</f>
        <v>0.6966315588609322</v>
      </c>
      <c r="L10" s="924">
        <v>1383.8</v>
      </c>
      <c r="M10" s="925">
        <f>L10/L13*100</f>
        <v>0.60990444624660622</v>
      </c>
      <c r="N10" s="924">
        <v>1218.9000000000001</v>
      </c>
      <c r="O10" s="925">
        <f>N10/N13*100</f>
        <v>0.52695471276234263</v>
      </c>
      <c r="P10" s="924">
        <v>1032.7</v>
      </c>
      <c r="Q10" s="925">
        <f>P10/P13*100</f>
        <v>0.45240800920324142</v>
      </c>
      <c r="R10" s="1143">
        <v>885.43999999999994</v>
      </c>
      <c r="S10" s="1074">
        <f>R10/R13*100</f>
        <v>0.38292960174179685</v>
      </c>
      <c r="T10" s="1144"/>
      <c r="U10" s="1246">
        <v>793.9</v>
      </c>
      <c r="V10" s="1247">
        <f>U10/U13*100</f>
        <v>0.34467638018165087</v>
      </c>
    </row>
    <row r="11" spans="1:23" s="109" customFormat="1" ht="32.25" customHeight="1">
      <c r="A11" s="174"/>
      <c r="C11" s="693" t="s">
        <v>172</v>
      </c>
      <c r="D11" s="659">
        <v>619.70000000000005</v>
      </c>
      <c r="E11" s="660">
        <f>D11/D13*100</f>
        <v>0.29622101902516179</v>
      </c>
      <c r="F11" s="646">
        <v>442</v>
      </c>
      <c r="G11" s="647">
        <f>F11/F13*100</f>
        <v>0.20565141248090049</v>
      </c>
      <c r="H11" s="924">
        <v>657.4</v>
      </c>
      <c r="I11" s="925">
        <f>H11/H13*100</f>
        <v>0.29294881906956888</v>
      </c>
      <c r="J11" s="646">
        <v>750.5</v>
      </c>
      <c r="K11" s="925">
        <f>J11/J13*100</f>
        <v>0.33617668783766047</v>
      </c>
      <c r="L11" s="924">
        <v>938.6</v>
      </c>
      <c r="M11" s="925">
        <f>L11/L13*100</f>
        <v>0.41368428475723706</v>
      </c>
      <c r="N11" s="924">
        <v>995.2</v>
      </c>
      <c r="O11" s="925">
        <f>N11/N13*100</f>
        <v>0.43024475358198649</v>
      </c>
      <c r="P11" s="924">
        <v>858</v>
      </c>
      <c r="Q11" s="925">
        <f>P11/P13*100</f>
        <v>0.37587496068207721</v>
      </c>
      <c r="R11" s="1143">
        <v>911.83999999999992</v>
      </c>
      <c r="S11" s="1074">
        <f>R11/R13*100</f>
        <v>0.39434691006984102</v>
      </c>
      <c r="T11" s="1144"/>
      <c r="U11" s="1246">
        <v>746</v>
      </c>
      <c r="V11" s="1247">
        <f>U11/U13*100</f>
        <v>0.32388031189760863</v>
      </c>
    </row>
    <row r="12" spans="1:23" s="109" customFormat="1" ht="32.25" customHeight="1">
      <c r="A12" s="174"/>
      <c r="C12" s="693" t="s">
        <v>173</v>
      </c>
      <c r="D12" s="659">
        <v>1165.0999999999999</v>
      </c>
      <c r="E12" s="660">
        <f>D12/D13*100</f>
        <v>0.55692610822368238</v>
      </c>
      <c r="F12" s="646">
        <v>1057.3</v>
      </c>
      <c r="G12" s="647">
        <f>F12/F13*100</f>
        <v>0.49193492854311327</v>
      </c>
      <c r="H12" s="924">
        <v>1059.5999999999999</v>
      </c>
      <c r="I12" s="925">
        <f>H12/H13*100</f>
        <v>0.47217610083071976</v>
      </c>
      <c r="J12" s="646">
        <v>992.6</v>
      </c>
      <c r="K12" s="925">
        <f>J12/J13*100</f>
        <v>0.44462222564645143</v>
      </c>
      <c r="L12" s="924">
        <v>833.3</v>
      </c>
      <c r="M12" s="925">
        <f>L12/L13*100</f>
        <v>0.36727372095483235</v>
      </c>
      <c r="N12" s="924">
        <v>614.79999999999995</v>
      </c>
      <c r="O12" s="925">
        <f>N12/N13*100</f>
        <v>0.26579026778758569</v>
      </c>
      <c r="P12" s="924">
        <v>555.6</v>
      </c>
      <c r="Q12" s="925">
        <f>P12/P13*100</f>
        <v>0.2433987507633591</v>
      </c>
      <c r="R12" s="1143">
        <v>484.7</v>
      </c>
      <c r="S12" s="1074">
        <f>R12/R13*100</f>
        <v>0.20962005100768991</v>
      </c>
      <c r="T12" s="1144"/>
      <c r="U12" s="1246">
        <v>467.2</v>
      </c>
      <c r="V12" s="1247">
        <f>U12/U13*100</f>
        <v>0.20283764305437366</v>
      </c>
    </row>
    <row r="13" spans="1:23" s="109" customFormat="1" ht="32.25" customHeight="1">
      <c r="A13" s="174"/>
      <c r="C13" s="717" t="s">
        <v>174</v>
      </c>
      <c r="D13" s="661">
        <f>SUM(D8:D12)</f>
        <v>209201.90000000002</v>
      </c>
      <c r="E13" s="660">
        <f>E8+E9+E10+E11+E12</f>
        <v>99.999999999999986</v>
      </c>
      <c r="F13" s="648">
        <f>SUM(F8:F12)</f>
        <v>214926.8</v>
      </c>
      <c r="G13" s="647">
        <f>G8+G9+G10+G11+G12</f>
        <v>100</v>
      </c>
      <c r="H13" s="926">
        <f>SUM(H8:H12)</f>
        <v>224407.8</v>
      </c>
      <c r="I13" s="925">
        <f>I8+I9+I10+I11+I12</f>
        <v>100</v>
      </c>
      <c r="J13" s="648">
        <f>SUM(J8:J12)</f>
        <v>223245.7</v>
      </c>
      <c r="K13" s="925">
        <f>K8+K9+K10+K11+K12</f>
        <v>100</v>
      </c>
      <c r="L13" s="926">
        <f>SUM(L8:L12)</f>
        <v>226888</v>
      </c>
      <c r="M13" s="925">
        <f>M8+M9+M10+M11+M12</f>
        <v>100</v>
      </c>
      <c r="N13" s="926">
        <f>SUM(N8:N12)</f>
        <v>231310.19999999998</v>
      </c>
      <c r="O13" s="925">
        <f>O8+O9+O10+O11+O12</f>
        <v>100</v>
      </c>
      <c r="P13" s="926">
        <f>SUM(P8:P12)</f>
        <v>228267.40000000002</v>
      </c>
      <c r="Q13" s="925">
        <f>Q8+Q9+Q10+Q11+Q12</f>
        <v>100</v>
      </c>
      <c r="R13" s="1145">
        <f>SUM(R8:R12)</f>
        <v>231227.88</v>
      </c>
      <c r="S13" s="1074">
        <f>S8+S9+S10+S11+S12</f>
        <v>100</v>
      </c>
      <c r="T13" s="1144"/>
      <c r="U13" s="1248">
        <f>SUM(U8:U12)</f>
        <v>230332</v>
      </c>
      <c r="V13" s="1247">
        <f>V8+V9+V10+V11+V12</f>
        <v>100.00000000000001</v>
      </c>
    </row>
    <row r="14" spans="1:23" s="109" customFormat="1" ht="32.25" customHeight="1">
      <c r="A14" s="174"/>
      <c r="C14" s="693" t="s">
        <v>175</v>
      </c>
      <c r="D14" s="659">
        <f>D9+D10+D11+D12</f>
        <v>6831.1999999999989</v>
      </c>
      <c r="E14" s="660">
        <f>D14/D13*100</f>
        <v>3.2653623126749798</v>
      </c>
      <c r="F14" s="646">
        <f>F9+F10+F11+F12</f>
        <v>6487.4000000000005</v>
      </c>
      <c r="G14" s="647">
        <f>F14/F13*100</f>
        <v>3.0184230165805293</v>
      </c>
      <c r="H14" s="924">
        <f>H9+H10+H11+H12</f>
        <v>6508.2000000000007</v>
      </c>
      <c r="I14" s="925">
        <f>H14/H13*100</f>
        <v>2.9001665717501806</v>
      </c>
      <c r="J14" s="646">
        <f>J9+J10+J11+J12</f>
        <v>5672.6</v>
      </c>
      <c r="K14" s="925">
        <f>J14/J13*100</f>
        <v>2.5409671944409231</v>
      </c>
      <c r="L14" s="924">
        <f>L9+L10+L11+L12</f>
        <v>5256.4000000000005</v>
      </c>
      <c r="M14" s="925">
        <f>L14/L13*100</f>
        <v>2.3167377737033252</v>
      </c>
      <c r="N14" s="924">
        <f>N9+N10+N11+N12</f>
        <v>4996.9000000000005</v>
      </c>
      <c r="O14" s="925">
        <f>N14/N13*100</f>
        <v>2.1602592535910659</v>
      </c>
      <c r="P14" s="924">
        <f>P9+P10+P11+P12</f>
        <v>4774.4000000000005</v>
      </c>
      <c r="Q14" s="925">
        <f>P14/P13*100</f>
        <v>2.0915820655949999</v>
      </c>
      <c r="R14" s="1143">
        <f>R9+R10+R11+R12</f>
        <v>4188.38</v>
      </c>
      <c r="S14" s="1074">
        <f>R14/R13*100</f>
        <v>1.811364615720215</v>
      </c>
      <c r="T14" s="1144"/>
      <c r="U14" s="1246">
        <f>U9+U10+U11+U12</f>
        <v>3787.8999999999996</v>
      </c>
      <c r="V14" s="1247">
        <f>U14/U13*100</f>
        <v>1.6445391869128041</v>
      </c>
    </row>
    <row r="15" spans="1:23" s="109" customFormat="1" ht="32.25" customHeight="1">
      <c r="A15" s="174"/>
      <c r="C15" s="693" t="s">
        <v>176</v>
      </c>
      <c r="D15" s="659">
        <f>D10+D11+D12</f>
        <v>4054.2000000000003</v>
      </c>
      <c r="E15" s="660">
        <f>D15/D13*100</f>
        <v>1.9379365101368582</v>
      </c>
      <c r="F15" s="646">
        <f>F10+F11+F12</f>
        <v>3706.8999999999996</v>
      </c>
      <c r="G15" s="647">
        <f>F15/F13*100</f>
        <v>1.7247267441752261</v>
      </c>
      <c r="H15" s="924">
        <f>H10+H11+H12</f>
        <v>3703.4</v>
      </c>
      <c r="I15" s="927">
        <f>H15/H13*100</f>
        <v>1.6502991428996676</v>
      </c>
      <c r="J15" s="646">
        <f>J10+J11+J12</f>
        <v>3298.2999999999997</v>
      </c>
      <c r="K15" s="927">
        <f>J15/J13*100</f>
        <v>1.4774304723450438</v>
      </c>
      <c r="L15" s="924">
        <f>L10+L11+L12</f>
        <v>3155.7</v>
      </c>
      <c r="M15" s="927">
        <f>L15/L13*100</f>
        <v>1.3908624519586754</v>
      </c>
      <c r="N15" s="924">
        <f>N10+N11+N12</f>
        <v>2828.9000000000005</v>
      </c>
      <c r="O15" s="927">
        <f>N15/N13*100</f>
        <v>1.2229897341319149</v>
      </c>
      <c r="P15" s="924">
        <f>P10+P11+P12</f>
        <v>2446.3000000000002</v>
      </c>
      <c r="Q15" s="927">
        <f>P15/P13*100</f>
        <v>1.0716817206486777</v>
      </c>
      <c r="R15" s="1143">
        <f>R10+R11+R12</f>
        <v>2281.9799999999996</v>
      </c>
      <c r="S15" s="1075">
        <f>R15/R13*100</f>
        <v>0.98689656281932758</v>
      </c>
      <c r="T15" s="1146"/>
      <c r="U15" s="1246">
        <f>U10+U11+U12</f>
        <v>2007.1000000000001</v>
      </c>
      <c r="V15" s="1249">
        <f>U15/U13*100</f>
        <v>0.87139433513363329</v>
      </c>
    </row>
    <row r="16" spans="1:23" s="109" customFormat="1" ht="32.25" customHeight="1">
      <c r="A16" s="174"/>
      <c r="C16" s="717" t="s">
        <v>4</v>
      </c>
      <c r="D16" s="661">
        <v>2834.7</v>
      </c>
      <c r="E16" s="662"/>
      <c r="F16" s="648">
        <v>2647.6</v>
      </c>
      <c r="G16" s="649"/>
      <c r="H16" s="926">
        <v>2683.8</v>
      </c>
      <c r="I16" s="928"/>
      <c r="J16" s="648">
        <v>2377.5</v>
      </c>
      <c r="K16" s="928"/>
      <c r="L16" s="926">
        <v>2351.1</v>
      </c>
      <c r="M16" s="928"/>
      <c r="N16" s="926">
        <v>2334.5</v>
      </c>
      <c r="O16" s="928"/>
      <c r="P16" s="926">
        <v>2149.4</v>
      </c>
      <c r="Q16" s="928"/>
      <c r="R16" s="1145">
        <v>2006.6</v>
      </c>
      <c r="S16" s="1076"/>
      <c r="T16" s="1147"/>
      <c r="U16" s="1248">
        <v>1831.4</v>
      </c>
      <c r="V16" s="1250"/>
    </row>
    <row r="17" spans="1:26" s="109" customFormat="1" ht="15.75" customHeight="1">
      <c r="A17" s="174"/>
      <c r="C17" s="658"/>
      <c r="D17" s="650"/>
      <c r="E17" s="651"/>
      <c r="F17" s="650"/>
      <c r="G17" s="651"/>
      <c r="H17" s="650"/>
      <c r="I17" s="651"/>
      <c r="J17" s="650"/>
      <c r="K17" s="651"/>
      <c r="L17" s="650"/>
      <c r="M17" s="651"/>
      <c r="N17" s="650"/>
      <c r="O17" s="651"/>
      <c r="P17" s="650"/>
      <c r="Q17" s="651"/>
      <c r="R17" s="650"/>
      <c r="S17" s="651"/>
      <c r="T17" s="651"/>
      <c r="U17" s="650"/>
      <c r="V17" s="651"/>
      <c r="Z17" s="965"/>
    </row>
    <row r="18" spans="1:26" s="109" customFormat="1" ht="28.5" customHeight="1">
      <c r="A18" s="174"/>
      <c r="C18" s="718" t="s">
        <v>177</v>
      </c>
      <c r="D18" s="652"/>
      <c r="E18" s="653"/>
      <c r="F18" s="652"/>
      <c r="G18" s="653"/>
      <c r="H18" s="652"/>
      <c r="I18" s="653"/>
      <c r="J18" s="652"/>
      <c r="K18" s="653"/>
      <c r="L18" s="652"/>
      <c r="M18" s="653"/>
      <c r="N18" s="652"/>
      <c r="O18" s="653"/>
      <c r="P18" s="652"/>
      <c r="Q18" s="653"/>
      <c r="R18" s="652"/>
      <c r="S18" s="653"/>
      <c r="T18" s="653"/>
      <c r="U18" s="652"/>
      <c r="V18" s="653"/>
    </row>
    <row r="19" spans="1:26" s="109" customFormat="1" ht="28.5" customHeight="1">
      <c r="A19" s="174"/>
      <c r="C19" s="693" t="s">
        <v>384</v>
      </c>
      <c r="D19" s="960"/>
      <c r="E19" s="961">
        <f>(D16+8.5+1472.4)/D15*100</f>
        <v>106.4476345518228</v>
      </c>
      <c r="F19" s="654"/>
      <c r="G19" s="647">
        <f>(F16+6.3+1405.4)/F15*100</f>
        <v>109.50659580781787</v>
      </c>
      <c r="H19" s="960"/>
      <c r="I19" s="961">
        <f>(H16+7.8+1660.5)/H15*100</f>
        <v>117.51633633957985</v>
      </c>
      <c r="J19" s="654"/>
      <c r="K19" s="647">
        <f>(J16+6.2+1748.4)/J15*100</f>
        <v>125.27968953703426</v>
      </c>
      <c r="L19" s="960"/>
      <c r="M19" s="961">
        <f>(L16+8+1743.8)/L15*100</f>
        <v>130.01552745825015</v>
      </c>
      <c r="N19" s="654"/>
      <c r="O19" s="647">
        <f>(N16+6.9+1731.6)/N15*100</f>
        <v>143.97822475167024</v>
      </c>
      <c r="P19" s="960"/>
      <c r="Q19" s="961">
        <f>(P16+5.4+1754.7)/P15*100</f>
        <v>159.8127784817888</v>
      </c>
      <c r="R19" s="1077"/>
      <c r="S19" s="1074">
        <f>(R16+4.7+1701.5)/R15*100</f>
        <v>162.70081245234405</v>
      </c>
      <c r="T19" s="1148" t="s">
        <v>534</v>
      </c>
      <c r="U19" s="1251"/>
      <c r="V19" s="1247">
        <f>(U16+5.5+1856.4)/U15*100</f>
        <v>184.01175825818345</v>
      </c>
      <c r="W19" s="1023" t="s">
        <v>515</v>
      </c>
      <c r="X19" s="1024"/>
    </row>
    <row r="20" spans="1:26" s="109" customFormat="1" ht="28.5" customHeight="1">
      <c r="A20" s="174"/>
      <c r="C20" s="693" t="s">
        <v>388</v>
      </c>
      <c r="D20" s="962"/>
      <c r="E20" s="961">
        <f>(D16+8.5+1472.4)/D14*100</f>
        <v>63.174844829605362</v>
      </c>
      <c r="F20" s="655"/>
      <c r="G20" s="647">
        <f>(F16+6.3+1405.4)/F14*100</f>
        <v>62.572062767826864</v>
      </c>
      <c r="H20" s="962"/>
      <c r="I20" s="961">
        <f>(H16+7.8+1660.5)/H14*100</f>
        <v>66.871024246335381</v>
      </c>
      <c r="J20" s="655"/>
      <c r="K20" s="647">
        <f>(J16+6.2+1748.4)/J14*100</f>
        <v>72.843140711490335</v>
      </c>
      <c r="L20" s="962"/>
      <c r="M20" s="961">
        <f>(L16+8+1743.8)/L14*100</f>
        <v>78.055323034776634</v>
      </c>
      <c r="N20" s="655"/>
      <c r="O20" s="647">
        <f>(N16+6.9+1731.6)/N14*100</f>
        <v>81.510536532650235</v>
      </c>
      <c r="P20" s="962"/>
      <c r="Q20" s="961">
        <f>(P16+5.4+1754.7)/P14*100</f>
        <v>81.884634718498646</v>
      </c>
      <c r="R20" s="1078"/>
      <c r="S20" s="1074">
        <f>(R16+4.7+1701.5)/R14*100</f>
        <v>88.64525186348898</v>
      </c>
      <c r="T20" s="1149" t="s">
        <v>535</v>
      </c>
      <c r="U20" s="1252"/>
      <c r="V20" s="1247">
        <f>(U16+5.5+1856.4)/U14*100</f>
        <v>97.502573985585698</v>
      </c>
      <c r="W20" s="1023" t="s">
        <v>516</v>
      </c>
      <c r="X20" s="1024"/>
    </row>
    <row r="21" spans="1:26" s="109" customFormat="1" ht="28.5" customHeight="1" thickBot="1">
      <c r="A21" s="174"/>
      <c r="C21" s="691" t="s">
        <v>179</v>
      </c>
      <c r="D21" s="963"/>
      <c r="E21" s="964">
        <f>D16/D13*100</f>
        <v>1.3550068139916509</v>
      </c>
      <c r="F21" s="656"/>
      <c r="G21" s="657">
        <f>F16/F13*100</f>
        <v>1.2318612662543713</v>
      </c>
      <c r="H21" s="963"/>
      <c r="I21" s="964">
        <f>H16/H13*100</f>
        <v>1.1959477344370384</v>
      </c>
      <c r="J21" s="656"/>
      <c r="K21" s="657">
        <f>J16/J13*100</f>
        <v>1.0649701203651403</v>
      </c>
      <c r="L21" s="963"/>
      <c r="M21" s="964">
        <f>L16/L13*100</f>
        <v>1.0362381439300448</v>
      </c>
      <c r="N21" s="656"/>
      <c r="O21" s="657">
        <f>N16/N13*100</f>
        <v>1.0092507809858797</v>
      </c>
      <c r="P21" s="963"/>
      <c r="Q21" s="964">
        <f>P16/P13*100</f>
        <v>0.94161496560612679</v>
      </c>
      <c r="R21" s="1079"/>
      <c r="S21" s="1080">
        <f>R16/R13*100</f>
        <v>0.86780192769141851</v>
      </c>
      <c r="T21" s="1150"/>
      <c r="U21" s="1253"/>
      <c r="V21" s="1254">
        <f>U16/U13*100</f>
        <v>0.79511314103120712</v>
      </c>
    </row>
    <row r="22" spans="1:26" s="109" customFormat="1" ht="9.75" customHeight="1">
      <c r="A22" s="174"/>
      <c r="C22" s="48"/>
      <c r="D22" s="288"/>
      <c r="E22" s="289"/>
      <c r="F22" s="288"/>
      <c r="G22" s="289"/>
      <c r="H22" s="288"/>
      <c r="I22" s="289"/>
      <c r="J22" s="288"/>
      <c r="K22" s="289"/>
      <c r="L22" s="288"/>
      <c r="M22" s="289"/>
      <c r="N22" s="288"/>
      <c r="O22" s="289"/>
      <c r="P22" s="288"/>
      <c r="Q22" s="289"/>
      <c r="R22" s="288"/>
      <c r="S22" s="289"/>
      <c r="T22" s="289"/>
      <c r="U22" s="288"/>
      <c r="V22" s="289"/>
      <c r="W22" s="289"/>
    </row>
    <row r="23" spans="1:26" s="109" customFormat="1" ht="15.75" customHeight="1">
      <c r="A23" s="174"/>
      <c r="C23" s="227" t="s">
        <v>180</v>
      </c>
    </row>
    <row r="24" spans="1:26" s="109" customFormat="1" ht="15.75" customHeight="1">
      <c r="A24" s="174"/>
      <c r="C24" s="501" t="s">
        <v>514</v>
      </c>
    </row>
    <row r="25" spans="1:26">
      <c r="A25" s="169"/>
      <c r="C25" s="501" t="s">
        <v>547</v>
      </c>
    </row>
    <row r="26" spans="1:26" ht="15" customHeight="1">
      <c r="A26" s="169"/>
      <c r="C26" s="501" t="s">
        <v>548</v>
      </c>
    </row>
    <row r="27" spans="1:26" ht="12.75" customHeight="1">
      <c r="A27" s="169"/>
    </row>
  </sheetData>
  <mergeCells count="9">
    <mergeCell ref="P6:Q6"/>
    <mergeCell ref="N6:O6"/>
    <mergeCell ref="L6:M6"/>
    <mergeCell ref="C1:U1"/>
    <mergeCell ref="U6:V6"/>
    <mergeCell ref="J6:K6"/>
    <mergeCell ref="H6:I6"/>
    <mergeCell ref="F6:G6"/>
    <mergeCell ref="D6:E6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67" orientation="landscape" useFirstPageNumber="1" verticalDpi="0" r:id="rId1"/>
  <headerFooter>
    <oddHeader>&amp;R&amp;"Trebuchet MS,보통"&amp;12
www.wooribank.com</oddHeader>
    <oddFooter>&amp;R&amp;"Trebuchet MS,보통"Page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showGridLines="0" view="pageBreakPreview" zoomScale="90" zoomScaleNormal="85" zoomScaleSheetLayoutView="90" workbookViewId="0"/>
  </sheetViews>
  <sheetFormatPr defaultRowHeight="15"/>
  <cols>
    <col min="1" max="1" width="23.85546875" style="77" customWidth="1"/>
    <col min="2" max="2" width="5.28515625" style="77" customWidth="1"/>
    <col min="3" max="3" width="22.7109375" style="77" customWidth="1"/>
    <col min="4" max="4" width="1.140625" style="77" customWidth="1"/>
    <col min="5" max="16" width="11" style="77" customWidth="1"/>
    <col min="17" max="16384" width="9.140625" style="77"/>
  </cols>
  <sheetData>
    <row r="1" spans="1:18" ht="38.25" customHeight="1">
      <c r="A1" s="827"/>
      <c r="B1" s="168"/>
      <c r="C1" s="630" t="s">
        <v>193</v>
      </c>
      <c r="D1" s="334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8" ht="13.5" customHeight="1">
      <c r="A2" s="169"/>
    </row>
    <row r="3" spans="1:18" ht="21.75" customHeight="1">
      <c r="A3" s="169"/>
      <c r="C3" s="631"/>
      <c r="D3" s="171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</row>
    <row r="4" spans="1:18" ht="28.5" customHeight="1">
      <c r="A4" s="169"/>
      <c r="C4" s="170"/>
      <c r="D4" s="171"/>
      <c r="E4" s="810"/>
      <c r="F4" s="810"/>
      <c r="G4" s="810"/>
      <c r="I4" s="810"/>
      <c r="J4" s="810"/>
      <c r="K4" s="810"/>
      <c r="L4" s="810"/>
      <c r="M4" s="810"/>
      <c r="N4" s="810"/>
      <c r="O4" s="810" t="s">
        <v>196</v>
      </c>
      <c r="P4" s="810"/>
    </row>
    <row r="5" spans="1:18" ht="27" customHeight="1">
      <c r="A5" s="169"/>
      <c r="C5" s="304"/>
      <c r="D5" s="170"/>
      <c r="E5" s="1335" t="s">
        <v>505</v>
      </c>
      <c r="F5" s="1334"/>
      <c r="G5" s="1334"/>
      <c r="H5" s="1334"/>
      <c r="I5" s="1319" t="s">
        <v>482</v>
      </c>
      <c r="J5" s="1334" t="s">
        <v>503</v>
      </c>
      <c r="K5" s="1334"/>
      <c r="L5" s="1334"/>
      <c r="M5" s="1334"/>
      <c r="N5" s="1319" t="s">
        <v>536</v>
      </c>
      <c r="O5" s="1319" t="s">
        <v>537</v>
      </c>
      <c r="P5" s="1060"/>
      <c r="Q5" s="306"/>
      <c r="R5" s="306"/>
    </row>
    <row r="6" spans="1:18" ht="6.75" customHeight="1">
      <c r="A6" s="174"/>
      <c r="B6" s="109"/>
      <c r="D6" s="442"/>
      <c r="E6" s="305"/>
      <c r="F6" s="305"/>
      <c r="G6" s="305"/>
      <c r="H6" s="305"/>
      <c r="I6" s="1319"/>
      <c r="J6" s="306"/>
      <c r="K6" s="306"/>
      <c r="L6" s="306"/>
      <c r="M6" s="306"/>
      <c r="N6" s="1319"/>
      <c r="O6" s="1319"/>
      <c r="P6" s="1060"/>
      <c r="Q6" s="305"/>
      <c r="R6" s="305"/>
    </row>
    <row r="7" spans="1:18" ht="30" customHeight="1">
      <c r="A7" s="174"/>
      <c r="B7" s="109"/>
      <c r="C7" s="170" t="s">
        <v>419</v>
      </c>
      <c r="D7" s="442"/>
      <c r="E7" s="305" t="s">
        <v>445</v>
      </c>
      <c r="F7" s="305" t="s">
        <v>474</v>
      </c>
      <c r="G7" s="305" t="s">
        <v>479</v>
      </c>
      <c r="H7" s="305" t="s">
        <v>481</v>
      </c>
      <c r="I7" s="1319"/>
      <c r="J7" s="305" t="s">
        <v>502</v>
      </c>
      <c r="K7" s="305" t="s">
        <v>498</v>
      </c>
      <c r="L7" s="305" t="s">
        <v>504</v>
      </c>
      <c r="M7" s="305" t="s">
        <v>511</v>
      </c>
      <c r="N7" s="1319"/>
      <c r="O7" s="1319"/>
      <c r="P7" s="1060"/>
      <c r="Q7" s="305"/>
      <c r="R7" s="305"/>
    </row>
    <row r="8" spans="1:18" ht="17.25" customHeight="1">
      <c r="A8" s="174"/>
      <c r="B8" s="109"/>
      <c r="C8" s="665"/>
      <c r="D8" s="442"/>
      <c r="E8" s="719"/>
      <c r="F8" s="719"/>
      <c r="G8" s="719"/>
      <c r="H8" s="719"/>
      <c r="I8" s="719"/>
      <c r="J8" s="719"/>
      <c r="K8" s="719"/>
      <c r="L8" s="719"/>
      <c r="M8" s="719"/>
      <c r="N8" s="719"/>
      <c r="O8" s="719"/>
      <c r="P8" s="1081"/>
    </row>
    <row r="9" spans="1:18" ht="36.75" customHeight="1">
      <c r="A9" s="174"/>
      <c r="B9" s="109"/>
      <c r="C9" s="693" t="s">
        <v>379</v>
      </c>
      <c r="D9" s="307"/>
      <c r="E9" s="1214">
        <v>195.3</v>
      </c>
      <c r="F9" s="1214">
        <v>418</v>
      </c>
      <c r="G9" s="1214">
        <v>161.19999999999999</v>
      </c>
      <c r="H9" s="1214">
        <v>56.9</v>
      </c>
      <c r="I9" s="1214">
        <v>831.3</v>
      </c>
      <c r="J9" s="1214">
        <v>182.6</v>
      </c>
      <c r="K9" s="1214">
        <v>176.4</v>
      </c>
      <c r="L9" s="1214">
        <v>173.6</v>
      </c>
      <c r="M9" s="1214">
        <v>87</v>
      </c>
      <c r="N9" s="1214">
        <v>619.70000000000005</v>
      </c>
      <c r="O9" s="1214">
        <v>40.1</v>
      </c>
      <c r="P9" s="1082"/>
      <c r="Q9" s="308"/>
    </row>
    <row r="10" spans="1:18" ht="36.75" customHeight="1">
      <c r="A10" s="174"/>
      <c r="B10" s="109"/>
      <c r="C10" s="693" t="s">
        <v>194</v>
      </c>
      <c r="D10" s="307"/>
      <c r="E10" s="1214">
        <v>35.6</v>
      </c>
      <c r="F10" s="1214">
        <v>50.1</v>
      </c>
      <c r="G10" s="1214">
        <v>18.7</v>
      </c>
      <c r="H10" s="1214">
        <v>-2.2000000000000002</v>
      </c>
      <c r="I10" s="1214">
        <v>102.2</v>
      </c>
      <c r="J10" s="1214">
        <v>23.4</v>
      </c>
      <c r="K10" s="1214">
        <v>20.2</v>
      </c>
      <c r="L10" s="1214">
        <v>21.6</v>
      </c>
      <c r="M10" s="1214">
        <v>8.1</v>
      </c>
      <c r="N10" s="1214">
        <v>73.3</v>
      </c>
      <c r="O10" s="1214">
        <v>34.5</v>
      </c>
      <c r="P10" s="1082"/>
      <c r="Q10" s="308"/>
    </row>
    <row r="11" spans="1:18" ht="36.75" customHeight="1" thickBot="1">
      <c r="A11" s="174"/>
      <c r="B11" s="109"/>
      <c r="C11" s="692" t="s">
        <v>195</v>
      </c>
      <c r="D11" s="309"/>
      <c r="E11" s="882">
        <f t="shared" ref="E11:I11" si="0">SUM(E9:E10)</f>
        <v>230.9</v>
      </c>
      <c r="F11" s="882">
        <f t="shared" si="0"/>
        <v>468.1</v>
      </c>
      <c r="G11" s="882">
        <f t="shared" si="0"/>
        <v>179.89999999999998</v>
      </c>
      <c r="H11" s="882">
        <f t="shared" si="0"/>
        <v>54.699999999999996</v>
      </c>
      <c r="I11" s="882">
        <f t="shared" si="0"/>
        <v>933.5</v>
      </c>
      <c r="J11" s="882">
        <f>SUM(J9:J10)</f>
        <v>206</v>
      </c>
      <c r="K11" s="882">
        <f t="shared" ref="K11" si="1">SUM(K9:K10)</f>
        <v>196.6</v>
      </c>
      <c r="L11" s="882">
        <f t="shared" ref="L11:N11" si="2">SUM(L9:L10)</f>
        <v>195.2</v>
      </c>
      <c r="M11" s="882">
        <f t="shared" si="2"/>
        <v>95.1</v>
      </c>
      <c r="N11" s="882">
        <f t="shared" si="2"/>
        <v>693</v>
      </c>
      <c r="O11" s="882">
        <f t="shared" ref="O11" si="3">SUM(O9:O10)</f>
        <v>74.599999999999994</v>
      </c>
      <c r="P11" s="1083"/>
      <c r="Q11" s="308"/>
    </row>
    <row r="12" spans="1:18" ht="18.75" customHeight="1">
      <c r="A12" s="174"/>
      <c r="B12" s="109"/>
      <c r="C12" s="202"/>
      <c r="D12" s="202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</row>
    <row r="13" spans="1:18" ht="17.25" customHeight="1">
      <c r="A13" s="174"/>
      <c r="B13" s="109"/>
      <c r="C13" s="440"/>
      <c r="D13" s="414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/>
      <c r="Q13" s="308"/>
    </row>
    <row r="14" spans="1:18" ht="24" customHeight="1">
      <c r="A14" s="174"/>
      <c r="B14" s="109"/>
      <c r="C14" s="170" t="s">
        <v>420</v>
      </c>
      <c r="D14" s="414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308"/>
    </row>
    <row r="15" spans="1:18" ht="17.25" customHeight="1">
      <c r="A15" s="174"/>
      <c r="B15" s="109"/>
      <c r="C15" s="665"/>
      <c r="D15" s="414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308"/>
    </row>
    <row r="16" spans="1:18" ht="36.75" customHeight="1" thickBot="1">
      <c r="A16" s="174"/>
      <c r="B16" s="109"/>
      <c r="C16" s="691" t="s">
        <v>197</v>
      </c>
      <c r="D16" s="307"/>
      <c r="E16" s="1151">
        <v>37.299999999999997</v>
      </c>
      <c r="F16" s="1151">
        <v>41.2</v>
      </c>
      <c r="G16" s="1151">
        <v>50.5</v>
      </c>
      <c r="H16" s="1151">
        <v>51.9</v>
      </c>
      <c r="I16" s="1151">
        <v>180.5</v>
      </c>
      <c r="J16" s="1151">
        <v>50.7</v>
      </c>
      <c r="K16" s="1151">
        <v>47.3</v>
      </c>
      <c r="L16" s="1151">
        <v>44.4</v>
      </c>
      <c r="M16" s="1151">
        <v>62.6</v>
      </c>
      <c r="N16" s="1151">
        <v>205</v>
      </c>
      <c r="O16" s="1151">
        <v>44.2</v>
      </c>
      <c r="P16" s="1084"/>
      <c r="Q16" s="308"/>
    </row>
    <row r="17" spans="1:17" ht="17.25" customHeight="1">
      <c r="A17" s="174"/>
      <c r="B17" s="109"/>
      <c r="C17" s="202"/>
      <c r="D17" s="202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</row>
    <row r="18" spans="1:17" ht="17.25" customHeight="1">
      <c r="A18" s="174"/>
      <c r="B18" s="109"/>
      <c r="C18" s="202"/>
      <c r="D18" s="202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</row>
    <row r="19" spans="1:17" ht="24" customHeight="1">
      <c r="A19" s="174"/>
      <c r="B19" s="109"/>
      <c r="C19" s="170" t="s">
        <v>421</v>
      </c>
      <c r="D19" s="178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</row>
    <row r="20" spans="1:17" ht="17.25" customHeight="1">
      <c r="A20" s="174"/>
      <c r="B20" s="109"/>
      <c r="C20" s="665"/>
      <c r="D20" s="178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</row>
    <row r="21" spans="1:17" ht="36.75" customHeight="1" thickBot="1">
      <c r="A21" s="174"/>
      <c r="B21" s="109"/>
      <c r="C21" s="692" t="s">
        <v>195</v>
      </c>
      <c r="D21" s="309"/>
      <c r="E21" s="883">
        <f>E11+E16</f>
        <v>268.2</v>
      </c>
      <c r="F21" s="883">
        <f>F11+F16</f>
        <v>509.3</v>
      </c>
      <c r="G21" s="883">
        <f>G11+G16</f>
        <v>230.39999999999998</v>
      </c>
      <c r="H21" s="883">
        <f t="shared" ref="H21" si="4">H11+H16</f>
        <v>106.6</v>
      </c>
      <c r="I21" s="883">
        <f t="shared" ref="I21:M21" si="5">I11+I16</f>
        <v>1114</v>
      </c>
      <c r="J21" s="883">
        <f t="shared" si="5"/>
        <v>256.7</v>
      </c>
      <c r="K21" s="883">
        <f t="shared" si="5"/>
        <v>243.89999999999998</v>
      </c>
      <c r="L21" s="883">
        <f t="shared" si="5"/>
        <v>239.6</v>
      </c>
      <c r="M21" s="883">
        <f t="shared" si="5"/>
        <v>157.69999999999999</v>
      </c>
      <c r="N21" s="883">
        <f t="shared" ref="N21:O21" si="6">N11+N16</f>
        <v>898</v>
      </c>
      <c r="O21" s="883">
        <f t="shared" si="6"/>
        <v>118.8</v>
      </c>
      <c r="P21" s="1085"/>
      <c r="Q21" s="308"/>
    </row>
    <row r="22" spans="1:17" ht="18" customHeight="1">
      <c r="A22" s="174"/>
      <c r="B22" s="109"/>
      <c r="C22" s="200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</row>
    <row r="23" spans="1:17">
      <c r="A23" s="174"/>
      <c r="B23" s="109"/>
      <c r="C23" s="443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</row>
    <row r="24" spans="1:17" ht="15.75">
      <c r="A24" s="189"/>
      <c r="B24" s="190"/>
      <c r="C24" s="170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</row>
    <row r="25" spans="1:17" ht="15.75">
      <c r="A25" s="189"/>
      <c r="B25" s="27"/>
      <c r="C25" s="27"/>
      <c r="D25" s="446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</row>
    <row r="26" spans="1:17">
      <c r="A26" s="189"/>
      <c r="B26" s="190"/>
      <c r="C26" s="210"/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</row>
    <row r="27" spans="1:17">
      <c r="A27" s="189"/>
      <c r="B27" s="190"/>
      <c r="C27" s="44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</row>
    <row r="28" spans="1:17">
      <c r="A28" s="190"/>
      <c r="B28" s="190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</row>
    <row r="29" spans="1:17">
      <c r="A29" s="190"/>
      <c r="B29" s="190"/>
      <c r="C29" s="200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</row>
    <row r="30" spans="1:17">
      <c r="A30" s="190"/>
      <c r="B30" s="190"/>
      <c r="C30" s="200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</row>
    <row r="31" spans="1:17">
      <c r="A31" s="190"/>
      <c r="B31" s="190"/>
      <c r="C31" s="200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</row>
    <row r="32" spans="1:17">
      <c r="A32" s="190"/>
      <c r="B32" s="190"/>
      <c r="C32" s="200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</row>
    <row r="33" spans="1:16">
      <c r="A33" s="190"/>
      <c r="B33" s="190"/>
      <c r="C33" s="200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</row>
    <row r="34" spans="1:16">
      <c r="A34" s="190"/>
      <c r="B34" s="190"/>
      <c r="C34" s="444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</row>
    <row r="35" spans="1:16">
      <c r="A35" s="190"/>
      <c r="B35" s="190"/>
      <c r="C35" s="200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</row>
    <row r="36" spans="1:16">
      <c r="A36" s="190"/>
      <c r="B36" s="190"/>
      <c r="C36" s="200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</row>
    <row r="37" spans="1:16">
      <c r="A37" s="190"/>
      <c r="B37" s="19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</row>
    <row r="38" spans="1:16">
      <c r="A38" s="190"/>
      <c r="B38" s="190"/>
      <c r="C38" s="444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</row>
    <row r="39" spans="1:16">
      <c r="A39" s="190"/>
      <c r="B39" s="190"/>
      <c r="C39" s="200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</row>
    <row r="40" spans="1:16">
      <c r="A40" s="190"/>
      <c r="B40" s="190"/>
      <c r="C40" s="200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</row>
    <row r="41" spans="1:16">
      <c r="A41" s="190"/>
      <c r="B41" s="190"/>
      <c r="C41" s="200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</row>
    <row r="42" spans="1:16">
      <c r="A42" s="190"/>
      <c r="B42" s="190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</row>
    <row r="43" spans="1:16">
      <c r="A43" s="190"/>
      <c r="B43" s="190"/>
      <c r="C43" s="445"/>
      <c r="D43" s="445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</row>
    <row r="44" spans="1:16">
      <c r="A44" s="190"/>
      <c r="B44" s="190"/>
      <c r="C44" s="445"/>
      <c r="D44" s="445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</row>
    <row r="45" spans="1:16">
      <c r="A45" s="27"/>
      <c r="B45" s="27"/>
      <c r="C45" s="445"/>
      <c r="D45" s="445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1:16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6" ht="19.5">
      <c r="A47" s="27"/>
      <c r="B47" s="27"/>
      <c r="C47" s="1318"/>
      <c r="D47" s="1318"/>
    </row>
    <row r="48" spans="1:16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1:16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1:16" ht="18">
      <c r="A50" s="27"/>
      <c r="B50" s="27"/>
      <c r="C50" s="206"/>
      <c r="D50" s="206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</row>
    <row r="51" spans="1:16" ht="15.75">
      <c r="A51" s="27"/>
      <c r="B51" s="27"/>
      <c r="C51" s="446"/>
      <c r="D51" s="446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</row>
    <row r="52" spans="1:16">
      <c r="A52" s="190"/>
      <c r="B52" s="190"/>
      <c r="C52" s="210"/>
      <c r="D52" s="210"/>
      <c r="E52" s="442"/>
      <c r="F52" s="442"/>
      <c r="G52" s="442"/>
      <c r="H52" s="442"/>
      <c r="I52" s="442"/>
      <c r="J52" s="442"/>
      <c r="K52" s="442"/>
      <c r="L52" s="442"/>
      <c r="M52" s="442"/>
      <c r="N52" s="442"/>
      <c r="O52" s="442"/>
      <c r="P52" s="442"/>
    </row>
    <row r="53" spans="1:16">
      <c r="A53" s="190"/>
      <c r="B53" s="190"/>
      <c r="C53" s="443"/>
      <c r="D53" s="44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</row>
    <row r="54" spans="1:16">
      <c r="A54" s="190"/>
      <c r="B54" s="190"/>
      <c r="C54" s="200"/>
      <c r="D54" s="200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</row>
    <row r="55" spans="1:16">
      <c r="A55" s="190"/>
      <c r="B55" s="190"/>
      <c r="C55" s="200"/>
      <c r="D55" s="200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</row>
    <row r="56" spans="1:16">
      <c r="A56" s="190"/>
      <c r="B56" s="190"/>
      <c r="C56" s="200"/>
      <c r="D56" s="200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</row>
    <row r="57" spans="1:16">
      <c r="A57" s="190"/>
      <c r="B57" s="190"/>
      <c r="C57" s="200"/>
      <c r="D57" s="200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</row>
    <row r="58" spans="1:16">
      <c r="A58" s="190"/>
      <c r="B58" s="190"/>
      <c r="C58" s="200"/>
      <c r="D58" s="200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</row>
    <row r="59" spans="1:16">
      <c r="A59" s="190"/>
      <c r="B59" s="190"/>
      <c r="C59" s="444"/>
      <c r="D59" s="444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</row>
    <row r="60" spans="1:16">
      <c r="A60" s="190"/>
      <c r="B60" s="190"/>
      <c r="C60" s="200"/>
      <c r="D60" s="200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</row>
    <row r="61" spans="1:16">
      <c r="A61" s="190"/>
      <c r="B61" s="190"/>
      <c r="C61" s="200"/>
      <c r="D61" s="200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</row>
    <row r="62" spans="1:16">
      <c r="A62" s="190"/>
      <c r="B62" s="19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</row>
    <row r="63" spans="1:16">
      <c r="A63" s="190"/>
      <c r="B63" s="190"/>
      <c r="C63" s="444"/>
      <c r="D63" s="444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</row>
    <row r="64" spans="1:16">
      <c r="A64" s="190"/>
      <c r="B64" s="190"/>
      <c r="C64" s="200"/>
      <c r="D64" s="200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</row>
    <row r="65" spans="1:16">
      <c r="A65" s="190"/>
      <c r="B65" s="190"/>
      <c r="C65" s="200"/>
      <c r="D65" s="200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</row>
    <row r="66" spans="1:16">
      <c r="A66" s="190"/>
      <c r="B66" s="190"/>
      <c r="C66" s="200"/>
      <c r="D66" s="200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</row>
    <row r="67" spans="1:16">
      <c r="A67" s="190"/>
      <c r="B67" s="190"/>
      <c r="C67" s="200"/>
      <c r="D67" s="200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</row>
    <row r="68" spans="1:16">
      <c r="A68" s="190"/>
      <c r="B68" s="190"/>
      <c r="C68" s="200"/>
      <c r="D68" s="200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</row>
    <row r="69" spans="1:16">
      <c r="A69" s="190"/>
      <c r="B69" s="190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</row>
    <row r="70" spans="1:16" ht="15.75">
      <c r="A70" s="27"/>
      <c r="B70" s="27"/>
      <c r="C70" s="446"/>
      <c r="D70" s="446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</row>
    <row r="71" spans="1:16">
      <c r="A71" s="190"/>
      <c r="B71" s="190"/>
      <c r="C71" s="210"/>
      <c r="D71" s="210"/>
      <c r="E71" s="442"/>
      <c r="F71" s="442"/>
      <c r="G71" s="442"/>
      <c r="H71" s="442"/>
      <c r="I71" s="442"/>
      <c r="J71" s="442"/>
      <c r="K71" s="442"/>
      <c r="L71" s="442"/>
      <c r="M71" s="442"/>
      <c r="N71" s="442"/>
      <c r="O71" s="442"/>
      <c r="P71" s="442"/>
    </row>
    <row r="72" spans="1:16">
      <c r="A72" s="190"/>
      <c r="B72" s="190"/>
      <c r="C72" s="443"/>
      <c r="D72" s="44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</row>
    <row r="73" spans="1:16">
      <c r="A73" s="190"/>
      <c r="B73" s="190"/>
      <c r="C73" s="200"/>
      <c r="D73" s="200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</row>
    <row r="74" spans="1:16">
      <c r="A74" s="190"/>
      <c r="B74" s="190"/>
      <c r="C74" s="200"/>
      <c r="D74" s="200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</row>
    <row r="75" spans="1:16">
      <c r="A75" s="190"/>
      <c r="B75" s="190"/>
      <c r="C75" s="200"/>
      <c r="D75" s="200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</row>
    <row r="76" spans="1:16">
      <c r="A76" s="190"/>
      <c r="B76" s="190"/>
      <c r="C76" s="200"/>
      <c r="D76" s="200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</row>
    <row r="77" spans="1:16">
      <c r="A77" s="190"/>
      <c r="B77" s="190"/>
      <c r="C77" s="200"/>
      <c r="D77" s="200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</row>
    <row r="78" spans="1:16">
      <c r="A78" s="190"/>
      <c r="B78" s="190"/>
      <c r="C78" s="444"/>
      <c r="D78" s="444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</row>
    <row r="79" spans="1:16">
      <c r="A79" s="190"/>
      <c r="B79" s="190"/>
      <c r="C79" s="200"/>
      <c r="D79" s="200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</row>
    <row r="80" spans="1:16">
      <c r="A80" s="190"/>
      <c r="B80" s="190"/>
      <c r="C80" s="200"/>
      <c r="D80" s="200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</row>
    <row r="81" spans="1:16">
      <c r="A81" s="190"/>
      <c r="B81" s="19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</row>
    <row r="82" spans="1:16">
      <c r="A82" s="190"/>
      <c r="B82" s="190"/>
      <c r="C82" s="444"/>
      <c r="D82" s="444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</row>
    <row r="83" spans="1:16">
      <c r="A83" s="190"/>
      <c r="B83" s="190"/>
      <c r="C83" s="200"/>
      <c r="D83" s="200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</row>
    <row r="84" spans="1:16">
      <c r="A84" s="190"/>
      <c r="B84" s="190"/>
      <c r="C84" s="200"/>
      <c r="D84" s="200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</row>
    <row r="85" spans="1:16">
      <c r="A85" s="190"/>
      <c r="B85" s="190"/>
      <c r="C85" s="200"/>
      <c r="D85" s="200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</row>
    <row r="86" spans="1:16">
      <c r="A86" s="190"/>
      <c r="B86" s="190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</row>
    <row r="87" spans="1:16">
      <c r="A87" s="190"/>
      <c r="B87" s="190"/>
      <c r="C87" s="445"/>
      <c r="D87" s="445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</row>
    <row r="88" spans="1:16">
      <c r="A88" s="190"/>
      <c r="B88" s="190"/>
      <c r="C88" s="445"/>
      <c r="D88" s="445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</row>
    <row r="89" spans="1:16">
      <c r="A89" s="27"/>
      <c r="B89" s="27"/>
      <c r="C89" s="445"/>
      <c r="D89" s="445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1:16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</row>
    <row r="91" spans="1:16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</row>
  </sheetData>
  <mergeCells count="6">
    <mergeCell ref="J5:M5"/>
    <mergeCell ref="O5:O7"/>
    <mergeCell ref="E5:H5"/>
    <mergeCell ref="C47:D47"/>
    <mergeCell ref="I5:I7"/>
    <mergeCell ref="N5:N7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82" orientation="landscape" useFirstPageNumber="1" r:id="rId1"/>
  <headerFooter>
    <oddHeader>&amp;R&amp;"Trebuchet MS,보통"&amp;12
www.wooribank.com</oddHeader>
    <oddFooter xml:space="preserve">&amp;R&amp;"Trebuchet MS,보통"Page 14
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view="pageBreakPreview" zoomScale="90" zoomScaleNormal="100" zoomScaleSheetLayoutView="90" workbookViewId="0">
      <selection activeCell="G30" sqref="G30"/>
    </sheetView>
  </sheetViews>
  <sheetFormatPr defaultRowHeight="15"/>
  <cols>
    <col min="1" max="1" width="20.85546875" style="77" customWidth="1"/>
    <col min="2" max="2" width="6" style="77" customWidth="1"/>
    <col min="3" max="3" width="22.5703125" style="77" customWidth="1"/>
    <col min="4" max="18" width="8.5703125" style="77" customWidth="1"/>
    <col min="19" max="19" width="3.85546875" style="77" customWidth="1"/>
    <col min="20" max="16384" width="9.140625" style="77"/>
  </cols>
  <sheetData>
    <row r="1" spans="1:20" s="283" customFormat="1" ht="36" customHeight="1">
      <c r="A1" s="827"/>
      <c r="B1" s="282"/>
      <c r="C1" s="1307" t="s">
        <v>475</v>
      </c>
      <c r="D1" s="1307"/>
      <c r="E1" s="1307"/>
      <c r="F1" s="1307"/>
      <c r="G1" s="1307"/>
      <c r="H1" s="1307"/>
      <c r="I1" s="1307"/>
      <c r="J1" s="1307"/>
      <c r="K1" s="1307"/>
      <c r="L1" s="1307"/>
      <c r="M1" s="1307"/>
      <c r="N1" s="1307"/>
      <c r="O1" s="1307"/>
      <c r="P1" s="1307"/>
      <c r="Q1" s="1307"/>
      <c r="R1" s="1307"/>
      <c r="S1" s="1307"/>
      <c r="T1" s="250"/>
    </row>
    <row r="2" spans="1:20" ht="9" customHeight="1">
      <c r="A2" s="169"/>
      <c r="C2" s="171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09"/>
      <c r="T2" s="109"/>
    </row>
    <row r="3" spans="1:20" ht="15" customHeight="1">
      <c r="A3" s="169"/>
      <c r="C3" s="884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09"/>
      <c r="T3" s="109"/>
    </row>
    <row r="4" spans="1:20" s="109" customFormat="1" ht="10.15" customHeight="1">
      <c r="A4" s="174"/>
      <c r="C4" s="292"/>
      <c r="D4" s="293"/>
      <c r="E4" s="293"/>
      <c r="F4" s="294"/>
      <c r="G4" s="294"/>
      <c r="H4" s="294"/>
      <c r="I4" s="294"/>
      <c r="J4" s="293"/>
      <c r="K4" s="293"/>
      <c r="L4" s="294"/>
      <c r="M4" s="293"/>
      <c r="N4" s="293"/>
      <c r="O4" s="294"/>
      <c r="P4" s="295"/>
      <c r="Q4" s="295"/>
      <c r="R4" s="296"/>
    </row>
    <row r="5" spans="1:20" ht="27.75" customHeight="1">
      <c r="A5" s="169"/>
      <c r="C5" s="631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</row>
    <row r="6" spans="1:20" s="109" customFormat="1" ht="24" customHeight="1">
      <c r="A6" s="174"/>
      <c r="C6" s="285" t="s">
        <v>3</v>
      </c>
      <c r="D6" s="1336" t="s">
        <v>183</v>
      </c>
      <c r="E6" s="1336"/>
      <c r="F6" s="1336"/>
      <c r="G6" s="1337" t="s">
        <v>184</v>
      </c>
      <c r="H6" s="1336"/>
      <c r="I6" s="1338"/>
      <c r="J6" s="1336" t="s">
        <v>185</v>
      </c>
      <c r="K6" s="1336"/>
      <c r="L6" s="1336"/>
      <c r="M6" s="1337" t="s">
        <v>186</v>
      </c>
      <c r="N6" s="1336"/>
      <c r="O6" s="1338"/>
      <c r="P6" s="1336" t="s">
        <v>187</v>
      </c>
      <c r="Q6" s="1336"/>
      <c r="R6" s="1336"/>
    </row>
    <row r="7" spans="1:20" s="109" customFormat="1" ht="24" customHeight="1">
      <c r="A7" s="174"/>
      <c r="C7" s="499" t="s">
        <v>181</v>
      </c>
      <c r="D7" s="723" t="s">
        <v>188</v>
      </c>
      <c r="E7" s="723" t="s">
        <v>189</v>
      </c>
      <c r="F7" s="715" t="s">
        <v>190</v>
      </c>
      <c r="G7" s="724" t="s">
        <v>191</v>
      </c>
      <c r="H7" s="725" t="s">
        <v>189</v>
      </c>
      <c r="I7" s="716" t="s">
        <v>190</v>
      </c>
      <c r="J7" s="723" t="s">
        <v>188</v>
      </c>
      <c r="K7" s="723" t="s">
        <v>189</v>
      </c>
      <c r="L7" s="715" t="s">
        <v>190</v>
      </c>
      <c r="M7" s="726" t="s">
        <v>188</v>
      </c>
      <c r="N7" s="723" t="s">
        <v>189</v>
      </c>
      <c r="O7" s="716" t="s">
        <v>190</v>
      </c>
      <c r="P7" s="723" t="s">
        <v>188</v>
      </c>
      <c r="Q7" s="723" t="s">
        <v>189</v>
      </c>
      <c r="R7" s="715" t="s">
        <v>190</v>
      </c>
    </row>
    <row r="8" spans="1:20" s="109" customFormat="1" ht="24" customHeight="1">
      <c r="A8" s="174"/>
      <c r="C8" s="727" t="s">
        <v>169</v>
      </c>
      <c r="D8" s="646">
        <v>35685.071000000004</v>
      </c>
      <c r="E8" s="646">
        <v>83.146000000000001</v>
      </c>
      <c r="F8" s="634">
        <f t="shared" ref="F8:F13" si="0">E8/D8*100</f>
        <v>0.23299939630216793</v>
      </c>
      <c r="G8" s="659">
        <v>70634.076000000001</v>
      </c>
      <c r="H8" s="1127">
        <v>232.291</v>
      </c>
      <c r="I8" s="1051">
        <f t="shared" ref="I8:I13" si="1">H8/G8*100</f>
        <v>0.32886534822087854</v>
      </c>
      <c r="J8" s="646">
        <v>102828.511</v>
      </c>
      <c r="K8" s="646">
        <v>58.747</v>
      </c>
      <c r="L8" s="634">
        <f t="shared" ref="L8:L13" si="2">K8/J8*100</f>
        <v>5.7131042187317092E-2</v>
      </c>
      <c r="M8" s="1152">
        <v>3404.6689999999999</v>
      </c>
      <c r="N8" s="646">
        <v>6.8460000000000001</v>
      </c>
      <c r="O8" s="1051">
        <f t="shared" ref="O8:O13" si="3">N8/M8*100</f>
        <v>0.20107681539673899</v>
      </c>
      <c r="P8" s="1153">
        <v>212552.32699999999</v>
      </c>
      <c r="Q8" s="1153">
        <v>381.029</v>
      </c>
      <c r="R8" s="1154">
        <f t="shared" ref="R8:R13" si="4">Q8/P8*100</f>
        <v>0.17926362198801052</v>
      </c>
      <c r="S8" s="298"/>
      <c r="T8" s="298"/>
    </row>
    <row r="9" spans="1:20" s="109" customFormat="1" ht="24" customHeight="1">
      <c r="A9" s="174"/>
      <c r="C9" s="727" t="s">
        <v>170</v>
      </c>
      <c r="D9" s="646">
        <v>432.553</v>
      </c>
      <c r="E9" s="646">
        <v>210.21299999999999</v>
      </c>
      <c r="F9" s="634">
        <f t="shared" si="0"/>
        <v>48.598206462560654</v>
      </c>
      <c r="G9" s="659">
        <v>597.03499999999997</v>
      </c>
      <c r="H9" s="1127">
        <v>67.834000000000003</v>
      </c>
      <c r="I9" s="1051">
        <f t="shared" si="1"/>
        <v>11.361812959039254</v>
      </c>
      <c r="J9" s="646">
        <v>331.178</v>
      </c>
      <c r="K9" s="646">
        <v>42.143000000000001</v>
      </c>
      <c r="L9" s="634">
        <f t="shared" si="2"/>
        <v>12.725181020478413</v>
      </c>
      <c r="M9" s="1152">
        <v>22.209</v>
      </c>
      <c r="N9" s="646">
        <v>11.779</v>
      </c>
      <c r="O9" s="1051">
        <f t="shared" si="3"/>
        <v>53.037057048944128</v>
      </c>
      <c r="P9" s="1153">
        <v>1382.9749999999999</v>
      </c>
      <c r="Q9" s="1153">
        <v>331.96899999999999</v>
      </c>
      <c r="R9" s="1154">
        <f t="shared" si="4"/>
        <v>24.003976933784056</v>
      </c>
      <c r="S9" s="298"/>
      <c r="T9" s="298"/>
    </row>
    <row r="10" spans="1:20" s="109" customFormat="1" ht="24" customHeight="1">
      <c r="A10" s="174"/>
      <c r="C10" s="727" t="s">
        <v>171</v>
      </c>
      <c r="D10" s="646">
        <v>227.79300000000001</v>
      </c>
      <c r="E10" s="646">
        <v>39.755000000000003</v>
      </c>
      <c r="F10" s="634">
        <f>E10/D10*100</f>
        <v>17.452248313161512</v>
      </c>
      <c r="G10" s="659">
        <v>349.053</v>
      </c>
      <c r="H10" s="1127">
        <v>61.505000000000003</v>
      </c>
      <c r="I10" s="1051">
        <f t="shared" si="1"/>
        <v>17.620533271451613</v>
      </c>
      <c r="J10" s="646">
        <v>183.85900000000001</v>
      </c>
      <c r="K10" s="646">
        <v>4.5389999999999997</v>
      </c>
      <c r="L10" s="634">
        <f t="shared" si="2"/>
        <v>2.468739632000609</v>
      </c>
      <c r="M10" s="1152">
        <v>8.2379999999999995</v>
      </c>
      <c r="N10" s="646">
        <v>0.91300000000000003</v>
      </c>
      <c r="O10" s="1051">
        <f t="shared" si="3"/>
        <v>11.082787084243749</v>
      </c>
      <c r="P10" s="1153">
        <v>768.94299999999998</v>
      </c>
      <c r="Q10" s="1153">
        <v>106.712</v>
      </c>
      <c r="R10" s="1154">
        <f t="shared" si="4"/>
        <v>13.877751666898588</v>
      </c>
      <c r="S10" s="298"/>
      <c r="T10" s="298"/>
    </row>
    <row r="11" spans="1:20" s="109" customFormat="1" ht="24" customHeight="1">
      <c r="A11" s="174"/>
      <c r="C11" s="727" t="s">
        <v>172</v>
      </c>
      <c r="D11" s="646">
        <v>339.21</v>
      </c>
      <c r="E11" s="646">
        <v>270.495</v>
      </c>
      <c r="F11" s="634">
        <f t="shared" si="0"/>
        <v>79.742637304324759</v>
      </c>
      <c r="G11" s="659">
        <v>263.95699999999999</v>
      </c>
      <c r="H11" s="1127">
        <v>140.60900000000001</v>
      </c>
      <c r="I11" s="1051">
        <f t="shared" si="1"/>
        <v>53.269661346355655</v>
      </c>
      <c r="J11" s="646">
        <v>53.256999999999998</v>
      </c>
      <c r="K11" s="646">
        <v>35.360999999999997</v>
      </c>
      <c r="L11" s="634">
        <f t="shared" si="2"/>
        <v>66.396905571098628</v>
      </c>
      <c r="M11" s="1152">
        <v>0.61699999999999999</v>
      </c>
      <c r="N11" s="646">
        <v>0.47399999999999998</v>
      </c>
      <c r="O11" s="1051">
        <f t="shared" si="3"/>
        <v>76.823338735818467</v>
      </c>
      <c r="P11" s="1153">
        <v>657.04100000000005</v>
      </c>
      <c r="Q11" s="1153">
        <v>446.93799999999999</v>
      </c>
      <c r="R11" s="1154">
        <f t="shared" si="4"/>
        <v>68.022847889248922</v>
      </c>
      <c r="S11" s="298"/>
      <c r="T11" s="298"/>
    </row>
    <row r="12" spans="1:20" s="109" customFormat="1" ht="24" customHeight="1">
      <c r="A12" s="174"/>
      <c r="C12" s="727" t="s">
        <v>173</v>
      </c>
      <c r="D12" s="646">
        <v>132.65299999999999</v>
      </c>
      <c r="E12" s="646">
        <v>108.46</v>
      </c>
      <c r="F12" s="634">
        <f>E12/D12*100</f>
        <v>81.76219158254996</v>
      </c>
      <c r="G12" s="659">
        <v>233.87899999999999</v>
      </c>
      <c r="H12" s="1127">
        <v>187.042</v>
      </c>
      <c r="I12" s="1051">
        <f t="shared" si="1"/>
        <v>79.973832622851987</v>
      </c>
      <c r="J12" s="646">
        <v>30.809000000000001</v>
      </c>
      <c r="K12" s="646">
        <v>22.228999999999999</v>
      </c>
      <c r="L12" s="634">
        <f t="shared" si="2"/>
        <v>72.150994839170366</v>
      </c>
      <c r="M12" s="1152">
        <v>0.60399999999999998</v>
      </c>
      <c r="N12" s="646">
        <v>0.46200000000000002</v>
      </c>
      <c r="O12" s="1051">
        <f t="shared" si="3"/>
        <v>76.490066225165563</v>
      </c>
      <c r="P12" s="1153">
        <v>397.94499999999999</v>
      </c>
      <c r="Q12" s="1153">
        <v>318.19299999999998</v>
      </c>
      <c r="R12" s="1154">
        <f t="shared" si="4"/>
        <v>79.959039565769146</v>
      </c>
      <c r="S12" s="298"/>
      <c r="T12" s="298"/>
    </row>
    <row r="13" spans="1:20" s="109" customFormat="1" ht="24" customHeight="1">
      <c r="A13" s="174"/>
      <c r="C13" s="728" t="s">
        <v>174</v>
      </c>
      <c r="D13" s="985">
        <f>SUM(D8:D12)</f>
        <v>36817.279999999999</v>
      </c>
      <c r="E13" s="984">
        <f>SUM(E8:E12)</f>
        <v>712.06899999999996</v>
      </c>
      <c r="F13" s="634">
        <f t="shared" si="0"/>
        <v>1.9340619404801225</v>
      </c>
      <c r="G13" s="985">
        <f>SUM(G8:G12)</f>
        <v>72078</v>
      </c>
      <c r="H13" s="589">
        <f>SUM(H8:H12)</f>
        <v>689.28100000000006</v>
      </c>
      <c r="I13" s="1051">
        <f t="shared" si="1"/>
        <v>0.95629873192929904</v>
      </c>
      <c r="J13" s="984">
        <f>SUM(J8:J12)</f>
        <v>103427.61399999999</v>
      </c>
      <c r="K13" s="984">
        <f>SUM(K8:K12)</f>
        <v>163.01900000000001</v>
      </c>
      <c r="L13" s="634">
        <f t="shared" si="2"/>
        <v>0.15761651428988782</v>
      </c>
      <c r="M13" s="988">
        <f>SUM(M8:M12)</f>
        <v>3436.3369999999995</v>
      </c>
      <c r="N13" s="984">
        <f>SUM(N8:N12)</f>
        <v>20.474</v>
      </c>
      <c r="O13" s="1051">
        <f t="shared" si="3"/>
        <v>0.59580885111093596</v>
      </c>
      <c r="P13" s="1155">
        <f>SUM(P8:P12)</f>
        <v>215759.231</v>
      </c>
      <c r="Q13" s="1155">
        <f>SUM(Q8:Q12)</f>
        <v>1584.8410000000001</v>
      </c>
      <c r="R13" s="1156">
        <f t="shared" si="4"/>
        <v>0.73454145746375976</v>
      </c>
      <c r="S13" s="298"/>
      <c r="T13" s="298"/>
    </row>
    <row r="14" spans="1:20" s="109" customFormat="1" ht="24" customHeight="1">
      <c r="A14" s="174"/>
      <c r="C14" s="727" t="s">
        <v>175</v>
      </c>
      <c r="D14" s="983">
        <f>SUM(D9:D12)</f>
        <v>1132.2090000000001</v>
      </c>
      <c r="E14" s="966"/>
      <c r="F14" s="969"/>
      <c r="G14" s="986">
        <f>SUM(G9:G12)</f>
        <v>1443.924</v>
      </c>
      <c r="H14" s="1050"/>
      <c r="I14" s="970"/>
      <c r="J14" s="983">
        <f>SUM(J9:J12)</f>
        <v>599.10299999999995</v>
      </c>
      <c r="K14" s="971"/>
      <c r="L14" s="967"/>
      <c r="M14" s="987">
        <f>SUM(M9:M12)</f>
        <v>31.667999999999999</v>
      </c>
      <c r="N14" s="971"/>
      <c r="O14" s="968"/>
      <c r="P14" s="1153">
        <f>D14+M14+J14+G14</f>
        <v>3206.904</v>
      </c>
      <c r="Q14" s="1157"/>
      <c r="R14" s="1158"/>
      <c r="S14" s="298"/>
      <c r="T14" s="298"/>
    </row>
    <row r="15" spans="1:20" s="109" customFormat="1" ht="24" customHeight="1">
      <c r="A15" s="174"/>
      <c r="C15" s="727" t="s">
        <v>176</v>
      </c>
      <c r="D15" s="983">
        <f>SUM(D10:D12)</f>
        <v>699.65599999999995</v>
      </c>
      <c r="E15" s="966"/>
      <c r="F15" s="969"/>
      <c r="G15" s="986">
        <f>SUM(G10:G12)</f>
        <v>846.88900000000001</v>
      </c>
      <c r="H15" s="969"/>
      <c r="I15" s="970"/>
      <c r="J15" s="983">
        <f>SUM(J10:J12)</f>
        <v>267.92500000000001</v>
      </c>
      <c r="K15" s="971"/>
      <c r="L15" s="967"/>
      <c r="M15" s="987">
        <f>SUM(M10:M12)</f>
        <v>9.4589999999999996</v>
      </c>
      <c r="N15" s="971"/>
      <c r="O15" s="968"/>
      <c r="P15" s="1153">
        <f>D15+M15+J15+G15</f>
        <v>1823.9290000000001</v>
      </c>
      <c r="Q15" s="1157"/>
      <c r="R15" s="1159">
        <f>P15/P13*100</f>
        <v>0.84535386576345373</v>
      </c>
      <c r="S15" s="298"/>
      <c r="T15" s="298"/>
    </row>
    <row r="16" spans="1:20" s="109" customFormat="1" ht="24" customHeight="1">
      <c r="A16" s="174"/>
      <c r="C16" s="639"/>
      <c r="D16" s="635"/>
      <c r="E16" s="635"/>
      <c r="F16" s="635"/>
      <c r="G16" s="636"/>
      <c r="H16" s="635"/>
      <c r="I16" s="635"/>
      <c r="J16" s="635"/>
      <c r="K16" s="635"/>
      <c r="L16" s="635"/>
      <c r="M16" s="635"/>
      <c r="N16" s="635"/>
      <c r="O16" s="635"/>
      <c r="P16" s="1160"/>
      <c r="Q16" s="1161"/>
      <c r="R16" s="1161"/>
      <c r="S16" s="298"/>
      <c r="T16" s="298"/>
    </row>
    <row r="17" spans="1:20" s="109" customFormat="1" ht="24" customHeight="1">
      <c r="A17" s="769"/>
      <c r="C17" s="643" t="s">
        <v>182</v>
      </c>
      <c r="D17" s="637"/>
      <c r="E17" s="637"/>
      <c r="F17" s="637"/>
      <c r="G17" s="637"/>
      <c r="H17" s="637"/>
      <c r="I17" s="637"/>
      <c r="J17" s="637"/>
      <c r="K17" s="637"/>
      <c r="L17" s="637"/>
      <c r="M17" s="637"/>
      <c r="N17" s="637"/>
      <c r="O17" s="637"/>
      <c r="P17" s="1162"/>
      <c r="Q17" s="1162"/>
      <c r="R17" s="1162"/>
      <c r="S17" s="298"/>
      <c r="T17" s="298"/>
    </row>
    <row r="18" spans="1:20" s="109" customFormat="1" ht="24" customHeight="1">
      <c r="A18" s="174"/>
      <c r="C18" s="727" t="s">
        <v>426</v>
      </c>
      <c r="D18" s="634"/>
      <c r="E18" s="634"/>
      <c r="F18" s="1167">
        <f>E13/D15*100</f>
        <v>101.77415758601369</v>
      </c>
      <c r="G18" s="1168"/>
      <c r="H18" s="1167"/>
      <c r="I18" s="1169">
        <f>H13/G15*100</f>
        <v>81.389768907141331</v>
      </c>
      <c r="J18" s="1167"/>
      <c r="K18" s="1167"/>
      <c r="L18" s="1167">
        <f>K13/J15*100</f>
        <v>60.845012596808814</v>
      </c>
      <c r="M18" s="1168"/>
      <c r="N18" s="1167"/>
      <c r="O18" s="1169">
        <f>N13/M15*100</f>
        <v>216.44994185431864</v>
      </c>
      <c r="P18" s="1163"/>
      <c r="Q18" s="1163"/>
      <c r="R18" s="1154">
        <f>(Q13+3.4+1701)/P15*100</f>
        <v>180.33821491955004</v>
      </c>
      <c r="S18" s="286" t="s">
        <v>517</v>
      </c>
      <c r="T18" s="1024"/>
    </row>
    <row r="19" spans="1:20" s="109" customFormat="1" ht="24" customHeight="1">
      <c r="A19" s="174"/>
      <c r="C19" s="727" t="s">
        <v>178</v>
      </c>
      <c r="D19" s="634"/>
      <c r="E19" s="634"/>
      <c r="F19" s="1167">
        <f>E13/D14*100</f>
        <v>62.892010220727791</v>
      </c>
      <c r="G19" s="1168"/>
      <c r="H19" s="1167"/>
      <c r="I19" s="1169">
        <f>H13/G14*100</f>
        <v>47.736653729697693</v>
      </c>
      <c r="J19" s="1167"/>
      <c r="K19" s="1167"/>
      <c r="L19" s="1167">
        <f>K13/J14*100</f>
        <v>27.2105130503436</v>
      </c>
      <c r="M19" s="1168"/>
      <c r="N19" s="1167"/>
      <c r="O19" s="1169">
        <f>N13/M14*100</f>
        <v>64.652014652014657</v>
      </c>
      <c r="P19" s="1163"/>
      <c r="Q19" s="1163"/>
      <c r="R19" s="1154">
        <f>(Q13+3.4+1701)/P14*100</f>
        <v>102.5674918862554</v>
      </c>
      <c r="S19" s="286" t="s">
        <v>518</v>
      </c>
      <c r="T19" s="1024"/>
    </row>
    <row r="20" spans="1:20" s="109" customFormat="1" ht="24" customHeight="1" thickBot="1">
      <c r="A20" s="174"/>
      <c r="C20" s="729" t="s">
        <v>179</v>
      </c>
      <c r="D20" s="638"/>
      <c r="E20" s="638"/>
      <c r="F20" s="1170">
        <f>E13/D13*100</f>
        <v>1.9340619404801225</v>
      </c>
      <c r="G20" s="1171"/>
      <c r="H20" s="1170"/>
      <c r="I20" s="1172">
        <f>H13/G13*100</f>
        <v>0.95629873192929904</v>
      </c>
      <c r="J20" s="1170"/>
      <c r="K20" s="1170"/>
      <c r="L20" s="1170">
        <f>K13/J13*100</f>
        <v>0.15761651428988782</v>
      </c>
      <c r="M20" s="1171"/>
      <c r="N20" s="1170"/>
      <c r="O20" s="1172">
        <f>N13/M13*100</f>
        <v>0.59580885111093596</v>
      </c>
      <c r="P20" s="1164"/>
      <c r="Q20" s="1164"/>
      <c r="R20" s="1165">
        <f>Q13/P13*100</f>
        <v>0.73454145746375976</v>
      </c>
      <c r="S20" s="298"/>
      <c r="T20" s="298"/>
    </row>
    <row r="21" spans="1:20" s="109" customFormat="1" ht="11.25">
      <c r="A21" s="174"/>
      <c r="C21" s="299"/>
      <c r="D21" s="299"/>
      <c r="E21" s="299"/>
      <c r="F21" s="299"/>
      <c r="G21" s="1166"/>
      <c r="H21" s="299"/>
      <c r="I21" s="299"/>
      <c r="J21" s="299"/>
      <c r="K21" s="299"/>
      <c r="L21" s="299"/>
      <c r="M21" s="299"/>
      <c r="N21" s="299"/>
      <c r="O21" s="300"/>
      <c r="P21" s="300"/>
      <c r="Q21" s="300"/>
      <c r="R21" s="300"/>
    </row>
    <row r="22" spans="1:20" s="109" customFormat="1" ht="15" customHeight="1">
      <c r="A22" s="174"/>
      <c r="C22" s="502" t="s">
        <v>538</v>
      </c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</row>
    <row r="23" spans="1:20" s="109" customFormat="1" ht="15" customHeight="1">
      <c r="A23" s="174"/>
      <c r="C23" s="502" t="s">
        <v>385</v>
      </c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</row>
    <row r="24" spans="1:20" ht="13.5" customHeight="1">
      <c r="A24" s="169"/>
      <c r="C24" s="501" t="s">
        <v>514</v>
      </c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</row>
    <row r="25" spans="1:20" ht="13.5" customHeight="1">
      <c r="A25" s="169"/>
      <c r="C25" s="501" t="s">
        <v>549</v>
      </c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</row>
    <row r="26" spans="1:20" ht="13.5" customHeight="1">
      <c r="A26" s="169"/>
      <c r="C26" s="501" t="s">
        <v>550</v>
      </c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</row>
    <row r="27" spans="1:20">
      <c r="A27" s="169"/>
    </row>
    <row r="28" spans="1:20">
      <c r="D28" s="62"/>
      <c r="E28" s="62"/>
      <c r="F28" s="62"/>
      <c r="G28" s="62"/>
    </row>
    <row r="29" spans="1:20">
      <c r="D29" s="62"/>
      <c r="E29" s="62"/>
      <c r="F29" s="62"/>
      <c r="G29" s="62"/>
    </row>
    <row r="30" spans="1:20">
      <c r="D30" s="62"/>
      <c r="E30" s="62"/>
      <c r="F30" s="62"/>
      <c r="G30" s="62"/>
    </row>
    <row r="31" spans="1:20">
      <c r="D31" s="62"/>
      <c r="E31" s="62"/>
      <c r="F31" s="62"/>
      <c r="G31" s="62"/>
    </row>
    <row r="32" spans="1:20">
      <c r="D32" s="62"/>
      <c r="E32" s="62"/>
      <c r="F32" s="62"/>
      <c r="G32" s="62"/>
    </row>
    <row r="33" spans="4:7">
      <c r="D33" s="62"/>
      <c r="E33" s="62"/>
      <c r="F33" s="62"/>
      <c r="G33" s="62"/>
    </row>
  </sheetData>
  <mergeCells count="6">
    <mergeCell ref="C1:S1"/>
    <mergeCell ref="D6:F6"/>
    <mergeCell ref="G6:I6"/>
    <mergeCell ref="J6:L6"/>
    <mergeCell ref="M6:O6"/>
    <mergeCell ref="P6:R6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3" orientation="landscape" useFirstPageNumber="1" verticalDpi="0" r:id="rId1"/>
  <headerFooter>
    <oddHeader>&amp;R&amp;"Trebuchet MS,보통"&amp;12
www.wooribank.com</oddHeader>
    <oddFooter xml:space="preserve">&amp;R&amp;"Trebuchet MS,보통"Page 15
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7"/>
  <sheetViews>
    <sheetView showGridLines="0" view="pageBreakPreview" zoomScale="80" zoomScaleNormal="85" zoomScaleSheetLayoutView="80" workbookViewId="0">
      <selection activeCell="O24" sqref="O24"/>
    </sheetView>
  </sheetViews>
  <sheetFormatPr defaultRowHeight="15"/>
  <cols>
    <col min="1" max="1" width="20.140625" style="77" customWidth="1"/>
    <col min="2" max="2" width="3" style="77" customWidth="1"/>
    <col min="3" max="3" width="25.140625" style="77" customWidth="1"/>
    <col min="4" max="4" width="1.85546875" style="77" customWidth="1"/>
    <col min="5" max="8" width="10.28515625" style="77" customWidth="1"/>
    <col min="9" max="9" width="1.85546875" style="77" customWidth="1"/>
    <col min="10" max="13" width="10.28515625" style="77" customWidth="1"/>
    <col min="14" max="14" width="2.140625" style="77" customWidth="1"/>
    <col min="15" max="18" width="10.28515625" style="77" customWidth="1"/>
    <col min="19" max="19" width="2.140625" style="77" customWidth="1"/>
    <col min="20" max="23" width="10.28515625" style="77" customWidth="1"/>
    <col min="24" max="24" width="1.7109375" style="77" customWidth="1"/>
    <col min="25" max="16384" width="9.140625" style="77"/>
  </cols>
  <sheetData>
    <row r="1" spans="1:24" ht="40.5" customHeight="1">
      <c r="A1" s="826"/>
      <c r="B1" s="168"/>
      <c r="C1" s="1307" t="s">
        <v>476</v>
      </c>
      <c r="D1" s="1307"/>
      <c r="E1" s="1307"/>
      <c r="F1" s="1307"/>
      <c r="G1" s="1307"/>
      <c r="H1" s="1307"/>
      <c r="I1" s="1307"/>
      <c r="J1" s="1307"/>
      <c r="K1" s="1307"/>
      <c r="L1" s="1307"/>
      <c r="M1" s="1307"/>
      <c r="N1" s="1307"/>
      <c r="O1" s="1307"/>
      <c r="P1" s="1307"/>
      <c r="Q1" s="1307"/>
      <c r="R1" s="1307"/>
      <c r="S1" s="1307"/>
      <c r="T1" s="1307"/>
      <c r="U1" s="1307"/>
      <c r="V1" s="1307"/>
      <c r="W1" s="1307"/>
      <c r="X1" s="1307"/>
    </row>
    <row r="2" spans="1:24" ht="69" customHeight="1">
      <c r="A2" s="169"/>
    </row>
    <row r="3" spans="1:24" ht="27.75" customHeight="1">
      <c r="A3" s="169"/>
      <c r="E3" s="1336" t="s">
        <v>205</v>
      </c>
      <c r="F3" s="1336"/>
      <c r="G3" s="1336"/>
      <c r="H3" s="1336"/>
      <c r="J3" s="1342" t="s">
        <v>206</v>
      </c>
      <c r="K3" s="1342"/>
      <c r="L3" s="1342"/>
      <c r="M3" s="1342"/>
      <c r="N3" s="1342"/>
      <c r="O3" s="1342"/>
      <c r="P3" s="1342"/>
      <c r="Q3" s="1342"/>
      <c r="R3" s="1342"/>
      <c r="S3" s="1342"/>
      <c r="T3" s="1342"/>
      <c r="U3" s="1342"/>
      <c r="V3" s="1342"/>
      <c r="W3" s="1342"/>
    </row>
    <row r="4" spans="1:24" ht="3" customHeight="1">
      <c r="A4" s="169"/>
      <c r="E4" s="1336"/>
      <c r="F4" s="1336"/>
      <c r="G4" s="1336"/>
      <c r="H4" s="1336"/>
      <c r="I4" s="312"/>
      <c r="J4" s="172"/>
      <c r="K4" s="172"/>
      <c r="L4" s="172"/>
      <c r="M4" s="172"/>
      <c r="N4" s="312"/>
      <c r="O4" s="172"/>
      <c r="P4" s="172"/>
      <c r="Q4" s="172"/>
      <c r="R4" s="172"/>
      <c r="S4" s="312"/>
      <c r="T4" s="172"/>
      <c r="U4" s="172"/>
      <c r="V4" s="172"/>
      <c r="W4" s="172"/>
      <c r="X4" s="312"/>
    </row>
    <row r="5" spans="1:24" s="47" customFormat="1" ht="33" customHeight="1">
      <c r="A5" s="313"/>
      <c r="C5" s="314"/>
      <c r="D5" s="176"/>
      <c r="E5" s="1336"/>
      <c r="F5" s="1336"/>
      <c r="G5" s="1336"/>
      <c r="H5" s="1336"/>
      <c r="I5" s="315"/>
      <c r="J5" s="1336" t="s">
        <v>183</v>
      </c>
      <c r="K5" s="1336"/>
      <c r="L5" s="1336"/>
      <c r="M5" s="1336"/>
      <c r="N5" s="315"/>
      <c r="O5" s="1336" t="s">
        <v>184</v>
      </c>
      <c r="P5" s="1336"/>
      <c r="Q5" s="1336"/>
      <c r="R5" s="1336"/>
      <c r="S5" s="315"/>
      <c r="T5" s="1336" t="s">
        <v>185</v>
      </c>
      <c r="U5" s="1336"/>
      <c r="V5" s="1336"/>
      <c r="W5" s="1336"/>
      <c r="X5" s="176" t="s">
        <v>0</v>
      </c>
    </row>
    <row r="6" spans="1:24" s="47" customFormat="1" ht="31.5" customHeight="1">
      <c r="A6" s="313"/>
      <c r="C6" s="314" t="s">
        <v>393</v>
      </c>
      <c r="D6" s="177"/>
      <c r="E6" s="722" t="s">
        <v>521</v>
      </c>
      <c r="F6" s="722" t="s">
        <v>506</v>
      </c>
      <c r="G6" s="722" t="s">
        <v>504</v>
      </c>
      <c r="H6" s="722" t="s">
        <v>498</v>
      </c>
      <c r="I6" s="177"/>
      <c r="J6" s="722" t="str">
        <f>+E6</f>
        <v>1Q17</v>
      </c>
      <c r="K6" s="722" t="str">
        <f>+F6</f>
        <v>4Q16</v>
      </c>
      <c r="L6" s="722" t="str">
        <f>+G6</f>
        <v>3Q16</v>
      </c>
      <c r="M6" s="722" t="str">
        <f>+H6</f>
        <v>2Q16</v>
      </c>
      <c r="N6" s="177"/>
      <c r="O6" s="722" t="str">
        <f>E6</f>
        <v>1Q17</v>
      </c>
      <c r="P6" s="722" t="str">
        <f>F6</f>
        <v>4Q16</v>
      </c>
      <c r="Q6" s="722" t="str">
        <f>G6</f>
        <v>3Q16</v>
      </c>
      <c r="R6" s="722" t="str">
        <f>H6</f>
        <v>2Q16</v>
      </c>
      <c r="S6" s="177"/>
      <c r="T6" s="722" t="str">
        <f>+E6</f>
        <v>1Q17</v>
      </c>
      <c r="U6" s="722" t="str">
        <f>+F6</f>
        <v>4Q16</v>
      </c>
      <c r="V6" s="722" t="str">
        <f>+G6</f>
        <v>3Q16</v>
      </c>
      <c r="W6" s="722" t="str">
        <f>+H6</f>
        <v>2Q16</v>
      </c>
      <c r="X6" s="177"/>
    </row>
    <row r="7" spans="1:24" s="47" customFormat="1" ht="17.25" customHeight="1">
      <c r="A7" s="313"/>
      <c r="C7" s="631"/>
      <c r="D7" s="177"/>
      <c r="E7" s="177"/>
      <c r="F7" s="177"/>
      <c r="G7" s="177"/>
      <c r="H7" s="177"/>
      <c r="I7" s="484"/>
      <c r="J7" s="484"/>
      <c r="K7" s="484"/>
      <c r="L7" s="484"/>
      <c r="M7" s="484"/>
      <c r="N7" s="484"/>
      <c r="O7" s="484"/>
      <c r="P7" s="484"/>
      <c r="Q7" s="484"/>
      <c r="R7" s="484"/>
      <c r="S7" s="484"/>
      <c r="T7" s="484"/>
      <c r="U7" s="484"/>
      <c r="V7" s="484"/>
      <c r="W7" s="484"/>
      <c r="X7" s="177"/>
    </row>
    <row r="8" spans="1:24" s="47" customFormat="1" ht="9" customHeight="1" thickBot="1">
      <c r="A8" s="313"/>
      <c r="D8" s="177"/>
      <c r="E8" s="664"/>
      <c r="F8" s="664"/>
      <c r="G8" s="664"/>
      <c r="H8" s="664"/>
      <c r="I8" s="484"/>
      <c r="J8" s="664"/>
      <c r="K8" s="664"/>
      <c r="L8" s="664"/>
      <c r="M8" s="664"/>
      <c r="N8" s="484"/>
      <c r="O8" s="664"/>
      <c r="P8" s="664"/>
      <c r="Q8" s="664"/>
      <c r="R8" s="664"/>
      <c r="S8" s="484"/>
      <c r="T8" s="664"/>
      <c r="U8" s="664"/>
      <c r="V8" s="664"/>
      <c r="W8" s="664"/>
      <c r="X8" s="177"/>
    </row>
    <row r="9" spans="1:24" s="47" customFormat="1" ht="38.25" customHeight="1">
      <c r="A9" s="313"/>
      <c r="C9" s="712" t="s">
        <v>198</v>
      </c>
      <c r="D9" s="307"/>
      <c r="E9" s="1173">
        <v>208461.8</v>
      </c>
      <c r="F9" s="1173">
        <v>208558.3</v>
      </c>
      <c r="G9" s="1173">
        <v>207016.9</v>
      </c>
      <c r="H9" s="1173">
        <v>209761.5</v>
      </c>
      <c r="I9" s="1086"/>
      <c r="J9" s="1173">
        <v>17557</v>
      </c>
      <c r="K9" s="1173">
        <v>17737.976999999999</v>
      </c>
      <c r="L9" s="1173">
        <v>20369.400000000001</v>
      </c>
      <c r="M9" s="1173">
        <v>20827.400000000001</v>
      </c>
      <c r="N9" s="1086"/>
      <c r="O9" s="1173">
        <v>68044.899999999994</v>
      </c>
      <c r="P9" s="1173">
        <v>66372.047999999995</v>
      </c>
      <c r="Q9" s="1173">
        <v>66649.899999999994</v>
      </c>
      <c r="R9" s="1173">
        <v>66010.399999999994</v>
      </c>
      <c r="S9" s="1086"/>
      <c r="T9" s="1173">
        <v>103402.1</v>
      </c>
      <c r="U9" s="1173">
        <v>102547.561</v>
      </c>
      <c r="V9" s="1173">
        <v>99288.9</v>
      </c>
      <c r="W9" s="1173">
        <v>99416.5</v>
      </c>
      <c r="X9" s="316"/>
    </row>
    <row r="10" spans="1:24" s="47" customFormat="1" ht="38.25" customHeight="1">
      <c r="A10" s="313"/>
      <c r="C10" s="693" t="s">
        <v>199</v>
      </c>
      <c r="D10" s="307"/>
      <c r="E10" s="1174">
        <v>934.4</v>
      </c>
      <c r="F10" s="1174">
        <v>961.1</v>
      </c>
      <c r="G10" s="1174">
        <v>1208.8</v>
      </c>
      <c r="H10" s="1174">
        <v>1191.7</v>
      </c>
      <c r="I10" s="1086"/>
      <c r="J10" s="1174">
        <v>47.9</v>
      </c>
      <c r="K10" s="1174">
        <v>37.531999999999996</v>
      </c>
      <c r="L10" s="1174">
        <v>74.400000000000006</v>
      </c>
      <c r="M10" s="1174">
        <v>70.900000000000006</v>
      </c>
      <c r="N10" s="1086"/>
      <c r="O10" s="1174">
        <v>500.4</v>
      </c>
      <c r="P10" s="1174">
        <v>477.74799999999993</v>
      </c>
      <c r="Q10" s="1174">
        <v>636</v>
      </c>
      <c r="R10" s="1174">
        <v>652.70000000000005</v>
      </c>
      <c r="S10" s="1086"/>
      <c r="T10" s="1174">
        <v>304.89999999999998</v>
      </c>
      <c r="U10" s="1174">
        <v>312.78499999999997</v>
      </c>
      <c r="V10" s="1174">
        <v>342.8</v>
      </c>
      <c r="W10" s="1174">
        <v>346.5</v>
      </c>
      <c r="X10" s="316"/>
    </row>
    <row r="11" spans="1:24" s="318" customFormat="1" ht="38.25" customHeight="1">
      <c r="A11" s="317"/>
      <c r="C11" s="720" t="s">
        <v>200</v>
      </c>
      <c r="D11" s="309"/>
      <c r="E11" s="1175">
        <f>E10/E9*100</f>
        <v>0.44823559999961626</v>
      </c>
      <c r="F11" s="1175">
        <f>F10/F9*100</f>
        <v>0.46083037692578055</v>
      </c>
      <c r="G11" s="1175">
        <f>G10/G9*100</f>
        <v>0.58391368047729431</v>
      </c>
      <c r="H11" s="1175">
        <f>H10/H9*100</f>
        <v>0.56812141408218386</v>
      </c>
      <c r="I11" s="414"/>
      <c r="J11" s="1175">
        <f>J10/J9*100</f>
        <v>0.27282565358546446</v>
      </c>
      <c r="K11" s="1175">
        <f>K10/K9*100</f>
        <v>0.21159120907643528</v>
      </c>
      <c r="L11" s="1175">
        <f>L10/L9*100</f>
        <v>0.36525376299743734</v>
      </c>
      <c r="M11" s="1175">
        <f>M10/M9*100</f>
        <v>0.34041695074757294</v>
      </c>
      <c r="N11" s="414"/>
      <c r="O11" s="1175">
        <f>O10/O9*100</f>
        <v>0.73539677477665488</v>
      </c>
      <c r="P11" s="1175">
        <f>P10/P9*100</f>
        <v>0.71980301105067601</v>
      </c>
      <c r="Q11" s="1175">
        <f>Q10/Q9*100</f>
        <v>0.95423999135782656</v>
      </c>
      <c r="R11" s="1175">
        <f>R10/R9*100</f>
        <v>0.98878358561681201</v>
      </c>
      <c r="S11" s="414"/>
      <c r="T11" s="1175">
        <f>T10/T9*100</f>
        <v>0.29486828604061227</v>
      </c>
      <c r="U11" s="1175">
        <f>U10/U9*100</f>
        <v>0.30501456782575254</v>
      </c>
      <c r="V11" s="1175">
        <f>V10/V9*100</f>
        <v>0.3452551090806727</v>
      </c>
      <c r="W11" s="1175">
        <f>W10/W9*100</f>
        <v>0.34853369410510326</v>
      </c>
      <c r="X11" s="319"/>
    </row>
    <row r="12" spans="1:24" s="47" customFormat="1" ht="38.25" customHeight="1">
      <c r="A12" s="313"/>
      <c r="C12" s="693" t="s">
        <v>201</v>
      </c>
      <c r="D12" s="307"/>
      <c r="E12" s="1174">
        <v>122.9</v>
      </c>
      <c r="F12" s="1174">
        <v>221.1</v>
      </c>
      <c r="G12" s="1174">
        <v>348.2</v>
      </c>
      <c r="H12" s="1176">
        <v>117.8</v>
      </c>
      <c r="I12" s="1086"/>
      <c r="J12" s="1177">
        <v>0.2</v>
      </c>
      <c r="K12" s="1177">
        <v>34.095895577999997</v>
      </c>
      <c r="L12" s="1177">
        <v>117.746716347</v>
      </c>
      <c r="M12" s="1177">
        <v>34.650542956000002</v>
      </c>
      <c r="N12" s="1087"/>
      <c r="O12" s="1177">
        <v>61</v>
      </c>
      <c r="P12" s="1177">
        <v>106.610795978</v>
      </c>
      <c r="Q12" s="1177">
        <v>140.31224516899999</v>
      </c>
      <c r="R12" s="1177">
        <v>48.032523650999998</v>
      </c>
      <c r="S12" s="1087"/>
      <c r="T12" s="1177">
        <v>35.6</v>
      </c>
      <c r="U12" s="1177">
        <v>34.561665281000003</v>
      </c>
      <c r="V12" s="1177">
        <v>49.138404993000002</v>
      </c>
      <c r="W12" s="1177">
        <v>27.507709995999999</v>
      </c>
      <c r="X12" s="316"/>
    </row>
    <row r="13" spans="1:24" s="47" customFormat="1" ht="38.25" customHeight="1">
      <c r="A13" s="313"/>
      <c r="C13" s="693" t="s">
        <v>202</v>
      </c>
      <c r="D13" s="307"/>
      <c r="E13" s="1174">
        <v>55.8</v>
      </c>
      <c r="F13" s="1174">
        <v>45.8</v>
      </c>
      <c r="G13" s="1174">
        <v>71.900000000000006</v>
      </c>
      <c r="H13" s="1176">
        <f>279-217.2</f>
        <v>61.800000000000011</v>
      </c>
      <c r="I13" s="1086"/>
      <c r="J13" s="1177">
        <v>0.4</v>
      </c>
      <c r="K13" s="1177">
        <v>0</v>
      </c>
      <c r="L13" s="1177">
        <v>0</v>
      </c>
      <c r="M13" s="1177">
        <v>0</v>
      </c>
      <c r="N13" s="1087"/>
      <c r="O13" s="1177">
        <v>39.799999999999997</v>
      </c>
      <c r="P13" s="1177">
        <v>35.356160731000003</v>
      </c>
      <c r="Q13" s="1177">
        <v>59.195835420999998</v>
      </c>
      <c r="R13" s="1177">
        <f>263.365993551-217.2</f>
        <v>46.165993550999985</v>
      </c>
      <c r="S13" s="1087"/>
      <c r="T13" s="1177">
        <v>11.7</v>
      </c>
      <c r="U13" s="1177">
        <v>8.4026478440000005</v>
      </c>
      <c r="V13" s="1177">
        <v>11.494522980999999</v>
      </c>
      <c r="W13" s="1177">
        <v>13.026459695</v>
      </c>
      <c r="X13" s="316"/>
    </row>
    <row r="14" spans="1:24" s="318" customFormat="1" ht="38.25" customHeight="1" thickBot="1">
      <c r="A14" s="317"/>
      <c r="C14" s="721" t="s">
        <v>203</v>
      </c>
      <c r="D14" s="309"/>
      <c r="E14" s="320">
        <f>(E10+E12+E13)/(E9+E12+E13)*100</f>
        <v>0.53350140552768999</v>
      </c>
      <c r="F14" s="320">
        <f>(F10+F12+F13)/(F9+F12+F13)*100</f>
        <v>0.58805163361510016</v>
      </c>
      <c r="G14" s="320">
        <f>(G10+G12+G13)/(G9+G12+G13)*100</f>
        <v>0.78525046158592726</v>
      </c>
      <c r="H14" s="320">
        <f>(H10+H12+H13)/(H9+H12+H13)*100</f>
        <v>0.65318320233627436</v>
      </c>
      <c r="I14" s="309"/>
      <c r="J14" s="320">
        <f>(J10+J12+J13)/(J9+J12+J13)*100</f>
        <v>0.27623365380234199</v>
      </c>
      <c r="K14" s="320">
        <f>(K10+K12+K13)/(K9+K12+K13)*100</f>
        <v>0.40303624680620265</v>
      </c>
      <c r="L14" s="320">
        <f>(L10+L12+L13)/(L9+L12+L13)*100</f>
        <v>0.93788910192009933</v>
      </c>
      <c r="M14" s="320">
        <f>(M10+M12+M13)/(M9+M12+M13)*100</f>
        <v>0.50594519814179428</v>
      </c>
      <c r="N14" s="309"/>
      <c r="O14" s="320">
        <f>(O10+O12+O13)/(O9+O12+O13)*100</f>
        <v>0.8822273452323478</v>
      </c>
      <c r="P14" s="320">
        <f>(P10+P12+P13)/(P9+P12+P13)*100</f>
        <v>0.93170583239088001</v>
      </c>
      <c r="Q14" s="320">
        <f>(Q10+Q12+Q13)/(Q9+Q12+Q13)*100</f>
        <v>1.2498361684560575</v>
      </c>
      <c r="R14" s="320">
        <f>(R10+R12+R13)/(R9+R12+R13)*100</f>
        <v>1.129873766660332</v>
      </c>
      <c r="S14" s="309"/>
      <c r="T14" s="320">
        <f>(T10+T12+T13)/(T9+T12+T13)*100</f>
        <v>0.34045630037486924</v>
      </c>
      <c r="U14" s="320">
        <f>(U10+U12+U13)/(U9+U12+U13)*100</f>
        <v>0.34676624575143572</v>
      </c>
      <c r="V14" s="320">
        <f>(V10+V12+V13)/(V9+V12+V13)*100</f>
        <v>0.40607430763311092</v>
      </c>
      <c r="W14" s="320">
        <f>(W10+W12+W13)/(W9+W12+W13)*100</f>
        <v>0.38914710550352061</v>
      </c>
      <c r="X14" s="319"/>
    </row>
    <row r="15" spans="1:24" s="318" customFormat="1" ht="22.5" customHeight="1">
      <c r="A15" s="317"/>
      <c r="C15" s="440"/>
      <c r="D15" s="309"/>
      <c r="E15" s="950"/>
      <c r="F15" s="950"/>
      <c r="G15" s="950"/>
      <c r="H15" s="950"/>
      <c r="I15" s="1025"/>
      <c r="J15" s="950"/>
      <c r="K15" s="950"/>
      <c r="L15" s="950"/>
      <c r="M15" s="950"/>
      <c r="N15" s="1025"/>
      <c r="O15" s="950"/>
      <c r="P15" s="950"/>
      <c r="Q15" s="950"/>
      <c r="R15" s="950"/>
      <c r="S15" s="1025"/>
      <c r="T15" s="950"/>
      <c r="U15" s="950"/>
      <c r="V15" s="950"/>
      <c r="W15" s="950"/>
      <c r="X15" s="319"/>
    </row>
    <row r="16" spans="1:24" ht="21" customHeight="1">
      <c r="A16" s="174"/>
      <c r="B16" s="109"/>
      <c r="C16" s="323" t="s">
        <v>204</v>
      </c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4"/>
      <c r="P16" s="324"/>
      <c r="Q16" s="324"/>
      <c r="R16" s="324"/>
      <c r="S16" s="321"/>
      <c r="T16" s="324"/>
      <c r="U16" s="324"/>
      <c r="V16" s="324"/>
      <c r="W16" s="324"/>
      <c r="X16" s="325"/>
    </row>
    <row r="17" spans="1:31" ht="21" customHeight="1">
      <c r="A17" s="174"/>
      <c r="B17" s="109"/>
      <c r="C17" s="323" t="s">
        <v>389</v>
      </c>
      <c r="D17" s="326"/>
      <c r="E17" s="187"/>
      <c r="F17" s="187"/>
      <c r="G17" s="187"/>
      <c r="H17" s="187"/>
      <c r="I17" s="187"/>
      <c r="J17" s="179"/>
      <c r="K17" s="179"/>
      <c r="L17" s="179"/>
      <c r="M17" s="179"/>
      <c r="N17" s="179"/>
      <c r="O17" s="179"/>
      <c r="P17" s="179"/>
      <c r="Q17" s="179"/>
      <c r="R17" s="179"/>
      <c r="S17" s="187"/>
      <c r="T17" s="179"/>
      <c r="U17" s="179"/>
      <c r="V17" s="179"/>
      <c r="W17" s="179"/>
      <c r="X17" s="187"/>
    </row>
    <row r="18" spans="1:31">
      <c r="A18" s="174"/>
      <c r="B18" s="109"/>
      <c r="C18" s="326"/>
      <c r="D18" s="326"/>
      <c r="E18" s="187"/>
      <c r="F18" s="187"/>
      <c r="G18" s="187"/>
      <c r="H18" s="187"/>
      <c r="I18" s="187"/>
      <c r="J18" s="179"/>
      <c r="K18" s="179"/>
      <c r="L18" s="179"/>
      <c r="M18" s="179"/>
      <c r="N18" s="179"/>
      <c r="O18" s="179"/>
      <c r="P18" s="179"/>
      <c r="Q18" s="179"/>
      <c r="R18" s="179"/>
      <c r="S18" s="187"/>
      <c r="T18" s="179"/>
      <c r="U18" s="179"/>
      <c r="V18" s="179"/>
      <c r="W18" s="179"/>
      <c r="X18" s="187"/>
    </row>
    <row r="19" spans="1:31" s="47" customFormat="1" ht="17.25" customHeight="1">
      <c r="A19" s="327"/>
      <c r="B19" s="327"/>
      <c r="C19" s="311"/>
      <c r="D19" s="311"/>
      <c r="E19" s="187"/>
      <c r="F19" s="187"/>
      <c r="G19" s="187"/>
      <c r="H19" s="187"/>
      <c r="I19" s="187"/>
      <c r="J19" s="179"/>
      <c r="K19" s="179"/>
      <c r="L19" s="179"/>
      <c r="M19" s="179"/>
      <c r="N19" s="179"/>
      <c r="O19" s="179"/>
      <c r="P19" s="179"/>
      <c r="Q19" s="179"/>
      <c r="R19" s="179"/>
      <c r="S19" s="187"/>
      <c r="T19" s="179"/>
      <c r="U19" s="179"/>
      <c r="V19" s="179"/>
      <c r="W19" s="179"/>
      <c r="X19" s="187"/>
      <c r="Y19" s="203"/>
      <c r="Z19" s="203"/>
      <c r="AA19" s="328"/>
      <c r="AB19" s="328"/>
      <c r="AC19" s="203"/>
      <c r="AD19" s="203"/>
      <c r="AE19" s="328"/>
    </row>
    <row r="20" spans="1:31" s="47" customFormat="1" ht="16.5" customHeight="1">
      <c r="A20" s="327"/>
      <c r="B20" s="327"/>
      <c r="C20" s="1340"/>
      <c r="D20" s="1340"/>
      <c r="E20" s="1340"/>
      <c r="F20" s="1340"/>
      <c r="G20" s="1340"/>
      <c r="H20" s="1340"/>
      <c r="I20" s="1340"/>
      <c r="J20" s="1340"/>
      <c r="K20" s="1340"/>
      <c r="L20" s="1340"/>
      <c r="M20" s="1340"/>
      <c r="N20" s="1340"/>
      <c r="O20" s="1340"/>
      <c r="P20" s="1340"/>
      <c r="Q20" s="1340"/>
      <c r="R20" s="1340"/>
      <c r="S20" s="1340"/>
      <c r="T20" s="1340"/>
      <c r="U20" s="1340"/>
      <c r="V20" s="1340"/>
      <c r="W20" s="1340"/>
      <c r="X20" s="1340"/>
      <c r="Y20" s="213"/>
      <c r="Z20" s="213"/>
      <c r="AA20" s="213"/>
      <c r="AB20" s="213"/>
      <c r="AC20" s="213"/>
      <c r="AD20" s="213"/>
    </row>
    <row r="21" spans="1:31" ht="25.5" customHeight="1">
      <c r="A21" s="190"/>
      <c r="B21" s="190"/>
      <c r="C21" s="1341"/>
      <c r="D21" s="1341"/>
      <c r="E21" s="1341"/>
      <c r="F21" s="1341"/>
      <c r="G21" s="1341"/>
      <c r="H21" s="1341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</row>
    <row r="22" spans="1:31">
      <c r="A22" s="190"/>
      <c r="B22" s="190"/>
      <c r="C22" s="191"/>
      <c r="D22" s="191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</row>
    <row r="23" spans="1:31">
      <c r="A23" s="190"/>
      <c r="B23" s="190"/>
      <c r="C23" s="192"/>
      <c r="D23" s="192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3"/>
      <c r="P23" s="193"/>
      <c r="Q23" s="193"/>
      <c r="R23" s="193"/>
      <c r="S23" s="194"/>
      <c r="T23" s="193"/>
      <c r="U23" s="193"/>
      <c r="V23" s="193"/>
      <c r="W23" s="193"/>
      <c r="X23" s="194"/>
    </row>
    <row r="24" spans="1:31">
      <c r="A24" s="190"/>
      <c r="B24" s="190"/>
      <c r="C24" s="192"/>
      <c r="D24" s="192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3"/>
      <c r="P24" s="193"/>
      <c r="Q24" s="193"/>
      <c r="R24" s="193"/>
      <c r="S24" s="194"/>
      <c r="T24" s="193"/>
      <c r="U24" s="193"/>
      <c r="V24" s="193"/>
      <c r="W24" s="193"/>
      <c r="X24" s="194"/>
    </row>
    <row r="25" spans="1:31">
      <c r="A25" s="190"/>
      <c r="B25" s="190"/>
      <c r="C25" s="184"/>
      <c r="D25" s="184"/>
      <c r="E25" s="196"/>
      <c r="F25" s="196"/>
      <c r="G25" s="196"/>
      <c r="H25" s="196"/>
      <c r="I25" s="196"/>
      <c r="J25" s="195"/>
      <c r="K25" s="195"/>
      <c r="L25" s="195"/>
      <c r="M25" s="195"/>
      <c r="N25" s="195"/>
      <c r="O25" s="195"/>
      <c r="P25" s="195"/>
      <c r="Q25" s="195"/>
      <c r="R25" s="195"/>
      <c r="S25" s="196"/>
      <c r="T25" s="195"/>
      <c r="U25" s="195"/>
      <c r="V25" s="195"/>
      <c r="W25" s="195"/>
      <c r="X25" s="196"/>
    </row>
    <row r="26" spans="1:31">
      <c r="A26" s="190"/>
      <c r="B26" s="190"/>
      <c r="C26" s="184"/>
      <c r="D26" s="184"/>
      <c r="E26" s="196"/>
      <c r="F26" s="196"/>
      <c r="G26" s="196"/>
      <c r="H26" s="196"/>
      <c r="I26" s="196"/>
      <c r="J26" s="195"/>
      <c r="K26" s="195"/>
      <c r="L26" s="195"/>
      <c r="M26" s="195"/>
      <c r="N26" s="195"/>
      <c r="O26" s="195"/>
      <c r="P26" s="195"/>
      <c r="Q26" s="195"/>
      <c r="R26" s="195"/>
      <c r="S26" s="196"/>
      <c r="T26" s="195"/>
      <c r="U26" s="195"/>
      <c r="V26" s="195"/>
      <c r="W26" s="195"/>
      <c r="X26" s="196"/>
    </row>
    <row r="27" spans="1:31">
      <c r="A27" s="190"/>
      <c r="B27" s="190"/>
      <c r="C27" s="184"/>
      <c r="D27" s="184"/>
      <c r="E27" s="196"/>
      <c r="F27" s="196"/>
      <c r="G27" s="196"/>
      <c r="H27" s="196"/>
      <c r="I27" s="196"/>
      <c r="J27" s="195"/>
      <c r="K27" s="195"/>
      <c r="L27" s="195"/>
      <c r="M27" s="195"/>
      <c r="N27" s="195"/>
      <c r="O27" s="195"/>
      <c r="P27" s="195"/>
      <c r="Q27" s="195"/>
      <c r="R27" s="195"/>
      <c r="S27" s="196"/>
      <c r="T27" s="195"/>
      <c r="U27" s="195"/>
      <c r="V27" s="195"/>
      <c r="W27" s="195"/>
      <c r="X27" s="196"/>
    </row>
    <row r="28" spans="1:31">
      <c r="A28" s="190"/>
      <c r="B28" s="190"/>
      <c r="C28" s="184"/>
      <c r="D28" s="184"/>
      <c r="E28" s="196"/>
      <c r="F28" s="196"/>
      <c r="G28" s="196"/>
      <c r="H28" s="196"/>
      <c r="I28" s="196"/>
      <c r="J28" s="195"/>
      <c r="K28" s="195"/>
      <c r="L28" s="195"/>
      <c r="M28" s="195"/>
      <c r="N28" s="195"/>
      <c r="O28" s="195"/>
      <c r="P28" s="195"/>
      <c r="Q28" s="195"/>
      <c r="R28" s="195"/>
      <c r="S28" s="196"/>
      <c r="T28" s="195"/>
      <c r="U28" s="195"/>
      <c r="V28" s="195"/>
      <c r="W28" s="195"/>
      <c r="X28" s="196"/>
    </row>
    <row r="29" spans="1:31">
      <c r="A29" s="190"/>
      <c r="B29" s="190"/>
      <c r="C29" s="184"/>
      <c r="D29" s="184"/>
      <c r="E29" s="196"/>
      <c r="F29" s="196"/>
      <c r="G29" s="196"/>
      <c r="H29" s="196"/>
      <c r="I29" s="196"/>
      <c r="J29" s="195"/>
      <c r="K29" s="195"/>
      <c r="L29" s="195"/>
      <c r="M29" s="195"/>
      <c r="N29" s="195"/>
      <c r="O29" s="195"/>
      <c r="P29" s="195"/>
      <c r="Q29" s="195"/>
      <c r="R29" s="195"/>
      <c r="S29" s="196"/>
      <c r="T29" s="195"/>
      <c r="U29" s="195"/>
      <c r="V29" s="195"/>
      <c r="W29" s="195"/>
      <c r="X29" s="196"/>
    </row>
    <row r="30" spans="1:31">
      <c r="A30" s="190"/>
      <c r="B30" s="190"/>
      <c r="C30" s="197"/>
      <c r="D30" s="197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8"/>
      <c r="P30" s="198"/>
      <c r="Q30" s="198"/>
      <c r="R30" s="198"/>
      <c r="S30" s="199"/>
      <c r="T30" s="198"/>
      <c r="U30" s="198"/>
      <c r="V30" s="198"/>
      <c r="W30" s="198"/>
      <c r="X30" s="199"/>
    </row>
    <row r="31" spans="1:31">
      <c r="A31" s="190"/>
      <c r="B31" s="190"/>
      <c r="C31" s="184"/>
      <c r="D31" s="184"/>
      <c r="E31" s="196"/>
      <c r="F31" s="196"/>
      <c r="G31" s="196"/>
      <c r="H31" s="196"/>
      <c r="I31" s="196"/>
      <c r="J31" s="196"/>
      <c r="K31" s="196"/>
      <c r="L31" s="196"/>
      <c r="M31" s="196"/>
      <c r="N31" s="195"/>
      <c r="O31" s="195"/>
      <c r="P31" s="195"/>
      <c r="Q31" s="195"/>
      <c r="R31" s="195"/>
      <c r="S31" s="196"/>
      <c r="T31" s="195"/>
      <c r="U31" s="195"/>
      <c r="V31" s="195"/>
      <c r="W31" s="195"/>
      <c r="X31" s="196"/>
    </row>
    <row r="32" spans="1:31">
      <c r="A32" s="190"/>
      <c r="B32" s="190"/>
      <c r="C32" s="184"/>
      <c r="D32" s="184"/>
      <c r="E32" s="196"/>
      <c r="F32" s="196"/>
      <c r="G32" s="196"/>
      <c r="H32" s="196"/>
      <c r="I32" s="196"/>
      <c r="J32" s="196"/>
      <c r="K32" s="196"/>
      <c r="L32" s="196"/>
      <c r="M32" s="196"/>
      <c r="N32" s="195"/>
      <c r="O32" s="195"/>
      <c r="P32" s="195"/>
      <c r="Q32" s="195"/>
      <c r="R32" s="195"/>
      <c r="S32" s="196"/>
      <c r="T32" s="195"/>
      <c r="U32" s="195"/>
      <c r="V32" s="195"/>
      <c r="W32" s="195"/>
      <c r="X32" s="196"/>
    </row>
    <row r="33" spans="1:24">
      <c r="A33" s="190"/>
      <c r="B33" s="190"/>
      <c r="C33" s="184"/>
      <c r="D33" s="184"/>
      <c r="E33" s="201"/>
      <c r="F33" s="201"/>
      <c r="G33" s="201"/>
      <c r="H33" s="201"/>
      <c r="I33" s="201"/>
      <c r="J33" s="200"/>
      <c r="K33" s="200"/>
      <c r="L33" s="200"/>
      <c r="M33" s="200"/>
      <c r="N33" s="200"/>
      <c r="O33" s="200"/>
      <c r="P33" s="200"/>
      <c r="Q33" s="200"/>
      <c r="R33" s="200"/>
      <c r="S33" s="201"/>
      <c r="T33" s="200"/>
      <c r="U33" s="200"/>
      <c r="V33" s="200"/>
      <c r="W33" s="200"/>
      <c r="X33" s="201"/>
    </row>
    <row r="34" spans="1:24">
      <c r="A34" s="190"/>
      <c r="B34" s="190"/>
      <c r="C34" s="197"/>
      <c r="D34" s="197"/>
      <c r="E34" s="201"/>
      <c r="F34" s="201"/>
      <c r="G34" s="201"/>
      <c r="H34" s="201"/>
      <c r="I34" s="201"/>
      <c r="J34" s="200"/>
      <c r="K34" s="200"/>
      <c r="L34" s="200"/>
      <c r="M34" s="200"/>
      <c r="N34" s="200"/>
      <c r="O34" s="200"/>
      <c r="P34" s="200"/>
      <c r="Q34" s="200"/>
      <c r="R34" s="200"/>
      <c r="S34" s="201"/>
      <c r="T34" s="200"/>
      <c r="U34" s="200"/>
      <c r="V34" s="200"/>
      <c r="W34" s="200"/>
      <c r="X34" s="201"/>
    </row>
    <row r="35" spans="1:24">
      <c r="A35" s="190"/>
      <c r="B35" s="190"/>
      <c r="C35" s="184"/>
      <c r="D35" s="184"/>
      <c r="E35" s="201"/>
      <c r="F35" s="201"/>
      <c r="G35" s="201"/>
      <c r="H35" s="201"/>
      <c r="I35" s="201"/>
      <c r="J35" s="195"/>
      <c r="K35" s="195"/>
      <c r="L35" s="195"/>
      <c r="M35" s="195"/>
      <c r="N35" s="195"/>
      <c r="O35" s="195"/>
      <c r="P35" s="195"/>
      <c r="Q35" s="195"/>
      <c r="R35" s="195"/>
      <c r="S35" s="201"/>
      <c r="T35" s="195"/>
      <c r="U35" s="195"/>
      <c r="V35" s="195"/>
      <c r="W35" s="195"/>
      <c r="X35" s="201"/>
    </row>
    <row r="36" spans="1:24">
      <c r="A36" s="190"/>
      <c r="B36" s="190"/>
      <c r="C36" s="184"/>
      <c r="D36" s="184"/>
      <c r="E36" s="201"/>
      <c r="F36" s="201"/>
      <c r="G36" s="201"/>
      <c r="H36" s="201"/>
      <c r="I36" s="201"/>
      <c r="J36" s="195"/>
      <c r="K36" s="195"/>
      <c r="L36" s="195"/>
      <c r="M36" s="195"/>
      <c r="N36" s="195"/>
      <c r="O36" s="195"/>
      <c r="P36" s="195"/>
      <c r="Q36" s="195"/>
      <c r="R36" s="195"/>
      <c r="S36" s="201"/>
      <c r="T36" s="195"/>
      <c r="U36" s="195"/>
      <c r="V36" s="195"/>
      <c r="W36" s="195"/>
      <c r="X36" s="201"/>
    </row>
    <row r="37" spans="1:24">
      <c r="A37" s="190"/>
      <c r="B37" s="190"/>
      <c r="C37" s="184"/>
      <c r="D37" s="184"/>
      <c r="E37" s="201"/>
      <c r="F37" s="201"/>
      <c r="G37" s="201"/>
      <c r="H37" s="201"/>
      <c r="I37" s="201"/>
      <c r="J37" s="195"/>
      <c r="K37" s="195"/>
      <c r="L37" s="195"/>
      <c r="M37" s="195"/>
      <c r="N37" s="195"/>
      <c r="O37" s="195"/>
      <c r="P37" s="195"/>
      <c r="Q37" s="195"/>
      <c r="R37" s="195"/>
      <c r="S37" s="201"/>
      <c r="T37" s="195"/>
      <c r="U37" s="195"/>
      <c r="V37" s="195"/>
      <c r="W37" s="195"/>
      <c r="X37" s="201"/>
    </row>
    <row r="38" spans="1:24">
      <c r="A38" s="190"/>
      <c r="B38" s="190"/>
      <c r="C38" s="202"/>
      <c r="D38" s="202"/>
      <c r="E38" s="203"/>
      <c r="F38" s="203"/>
      <c r="G38" s="203"/>
      <c r="H38" s="203"/>
      <c r="I38" s="203"/>
      <c r="J38" s="202"/>
      <c r="K38" s="202"/>
      <c r="L38" s="202"/>
      <c r="M38" s="202"/>
      <c r="N38" s="202"/>
      <c r="O38" s="202"/>
      <c r="P38" s="202"/>
      <c r="Q38" s="202"/>
      <c r="R38" s="202"/>
      <c r="S38" s="203"/>
      <c r="T38" s="202"/>
      <c r="U38" s="202"/>
      <c r="V38" s="202"/>
      <c r="W38" s="202"/>
      <c r="X38" s="203"/>
    </row>
    <row r="39" spans="1:24">
      <c r="A39" s="27"/>
      <c r="B39" s="27"/>
      <c r="C39" s="204"/>
      <c r="D39" s="204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</row>
    <row r="40" spans="1:24">
      <c r="A40" s="27"/>
      <c r="B40" s="27"/>
      <c r="C40" s="204"/>
      <c r="D40" s="204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</row>
    <row r="41" spans="1:24">
      <c r="A41" s="27"/>
      <c r="B41" s="27"/>
      <c r="C41" s="204"/>
      <c r="D41" s="204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ht="19.5">
      <c r="A43" s="27"/>
      <c r="B43" s="27"/>
      <c r="C43" s="1339"/>
      <c r="D43" s="1339"/>
      <c r="E43" s="1339"/>
      <c r="F43" s="1339"/>
      <c r="G43" s="1339"/>
      <c r="H43" s="1339"/>
      <c r="I43" s="1318"/>
      <c r="J43" s="1318"/>
      <c r="K43" s="1318"/>
      <c r="L43" s="1318"/>
      <c r="M43" s="1318"/>
      <c r="N43" s="1318"/>
      <c r="O43" s="1318"/>
      <c r="P43" s="1318"/>
      <c r="Q43" s="1318"/>
      <c r="R43" s="1318"/>
      <c r="S43" s="1318"/>
      <c r="T43" s="1318"/>
      <c r="U43" s="1318"/>
      <c r="V43" s="1318"/>
      <c r="W43" s="1318"/>
      <c r="X43" s="1318"/>
    </row>
    <row r="44" spans="1:24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ht="18">
      <c r="A46" s="190"/>
      <c r="B46" s="190"/>
      <c r="C46" s="206"/>
      <c r="D46" s="206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</row>
    <row r="47" spans="1:24">
      <c r="A47" s="190"/>
      <c r="B47" s="190"/>
      <c r="C47" s="208"/>
      <c r="D47" s="208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</row>
    <row r="48" spans="1:24">
      <c r="A48" s="190"/>
      <c r="B48" s="190"/>
      <c r="C48" s="210"/>
      <c r="D48" s="210"/>
      <c r="E48" s="210"/>
      <c r="F48" s="210"/>
      <c r="G48" s="210"/>
      <c r="H48" s="210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</row>
    <row r="49" spans="1:24">
      <c r="A49" s="190"/>
      <c r="B49" s="190"/>
      <c r="C49" s="192"/>
      <c r="D49" s="192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3"/>
      <c r="P49" s="193"/>
      <c r="Q49" s="193"/>
      <c r="R49" s="193"/>
      <c r="S49" s="194"/>
      <c r="T49" s="193"/>
      <c r="U49" s="193"/>
      <c r="V49" s="193"/>
      <c r="W49" s="193"/>
      <c r="X49" s="194"/>
    </row>
    <row r="50" spans="1:24">
      <c r="A50" s="190"/>
      <c r="B50" s="190"/>
      <c r="C50" s="184"/>
      <c r="D50" s="184"/>
      <c r="E50" s="196"/>
      <c r="F50" s="196"/>
      <c r="G50" s="196"/>
      <c r="H50" s="196"/>
      <c r="I50" s="196"/>
      <c r="J50" s="211"/>
      <c r="K50" s="211"/>
      <c r="L50" s="211"/>
      <c r="M50" s="211"/>
      <c r="N50" s="211"/>
      <c r="O50" s="195"/>
      <c r="P50" s="195"/>
      <c r="Q50" s="195"/>
      <c r="R50" s="195"/>
      <c r="S50" s="196"/>
      <c r="T50" s="195"/>
      <c r="U50" s="195"/>
      <c r="V50" s="195"/>
      <c r="W50" s="195"/>
      <c r="X50" s="196"/>
    </row>
    <row r="51" spans="1:24">
      <c r="A51" s="190"/>
      <c r="B51" s="190"/>
      <c r="C51" s="184"/>
      <c r="D51" s="184"/>
      <c r="E51" s="196"/>
      <c r="F51" s="196"/>
      <c r="G51" s="196"/>
      <c r="H51" s="196"/>
      <c r="I51" s="196"/>
      <c r="J51" s="211"/>
      <c r="K51" s="211"/>
      <c r="L51" s="211"/>
      <c r="M51" s="211"/>
      <c r="N51" s="211"/>
      <c r="O51" s="195"/>
      <c r="P51" s="195"/>
      <c r="Q51" s="195"/>
      <c r="R51" s="195"/>
      <c r="S51" s="196"/>
      <c r="T51" s="195"/>
      <c r="U51" s="195"/>
      <c r="V51" s="195"/>
      <c r="W51" s="195"/>
      <c r="X51" s="196"/>
    </row>
    <row r="52" spans="1:24">
      <c r="A52" s="190"/>
      <c r="B52" s="190"/>
      <c r="C52" s="184"/>
      <c r="D52" s="184"/>
      <c r="E52" s="196"/>
      <c r="F52" s="196"/>
      <c r="G52" s="196"/>
      <c r="H52" s="196"/>
      <c r="I52" s="196"/>
      <c r="J52" s="211"/>
      <c r="K52" s="211"/>
      <c r="L52" s="211"/>
      <c r="M52" s="211"/>
      <c r="N52" s="211"/>
      <c r="O52" s="195"/>
      <c r="P52" s="195"/>
      <c r="Q52" s="195"/>
      <c r="R52" s="195"/>
      <c r="S52" s="196"/>
      <c r="T52" s="195"/>
      <c r="U52" s="195"/>
      <c r="V52" s="195"/>
      <c r="W52" s="195"/>
      <c r="X52" s="196"/>
    </row>
    <row r="53" spans="1:24">
      <c r="A53" s="190"/>
      <c r="B53" s="190"/>
      <c r="C53" s="184"/>
      <c r="D53" s="184"/>
      <c r="E53" s="196"/>
      <c r="F53" s="196"/>
      <c r="G53" s="196"/>
      <c r="H53" s="196"/>
      <c r="I53" s="196"/>
      <c r="J53" s="211"/>
      <c r="K53" s="211"/>
      <c r="L53" s="211"/>
      <c r="M53" s="211"/>
      <c r="N53" s="211"/>
      <c r="O53" s="195"/>
      <c r="P53" s="195"/>
      <c r="Q53" s="195"/>
      <c r="R53" s="195"/>
      <c r="S53" s="196"/>
      <c r="T53" s="195"/>
      <c r="U53" s="195"/>
      <c r="V53" s="195"/>
      <c r="W53" s="195"/>
      <c r="X53" s="196"/>
    </row>
    <row r="54" spans="1:24">
      <c r="A54" s="190"/>
      <c r="B54" s="190"/>
      <c r="C54" s="184"/>
      <c r="D54" s="184"/>
      <c r="E54" s="196"/>
      <c r="F54" s="196"/>
      <c r="G54" s="196"/>
      <c r="H54" s="196"/>
      <c r="I54" s="196"/>
      <c r="J54" s="211"/>
      <c r="K54" s="211"/>
      <c r="L54" s="211"/>
      <c r="M54" s="211"/>
      <c r="N54" s="211"/>
      <c r="O54" s="195"/>
      <c r="P54" s="195"/>
      <c r="Q54" s="195"/>
      <c r="R54" s="195"/>
      <c r="S54" s="196"/>
      <c r="T54" s="195"/>
      <c r="U54" s="195"/>
      <c r="V54" s="195"/>
      <c r="W54" s="195"/>
      <c r="X54" s="196"/>
    </row>
    <row r="55" spans="1:24">
      <c r="A55" s="190"/>
      <c r="B55" s="190"/>
      <c r="C55" s="197"/>
      <c r="D55" s="197"/>
      <c r="E55" s="199"/>
      <c r="F55" s="199"/>
      <c r="G55" s="199"/>
      <c r="H55" s="199"/>
      <c r="I55" s="199"/>
      <c r="J55" s="212"/>
      <c r="K55" s="212"/>
      <c r="L55" s="212"/>
      <c r="M55" s="212"/>
      <c r="N55" s="212"/>
      <c r="O55" s="198"/>
      <c r="P55" s="198"/>
      <c r="Q55" s="198"/>
      <c r="R55" s="198"/>
      <c r="S55" s="199"/>
      <c r="T55" s="198"/>
      <c r="U55" s="198"/>
      <c r="V55" s="198"/>
      <c r="W55" s="198"/>
      <c r="X55" s="199"/>
    </row>
    <row r="56" spans="1:24">
      <c r="A56" s="190"/>
      <c r="B56" s="190"/>
      <c r="C56" s="184"/>
      <c r="D56" s="184"/>
      <c r="E56" s="196"/>
      <c r="F56" s="196"/>
      <c r="G56" s="196"/>
      <c r="H56" s="196"/>
      <c r="I56" s="196"/>
      <c r="J56" s="211"/>
      <c r="K56" s="211"/>
      <c r="L56" s="211"/>
      <c r="M56" s="211"/>
      <c r="N56" s="195"/>
      <c r="O56" s="195"/>
      <c r="P56" s="195"/>
      <c r="Q56" s="195"/>
      <c r="R56" s="195"/>
      <c r="S56" s="196"/>
      <c r="T56" s="195"/>
      <c r="U56" s="195"/>
      <c r="V56" s="195"/>
      <c r="W56" s="195"/>
      <c r="X56" s="196"/>
    </row>
    <row r="57" spans="1:24">
      <c r="A57" s="190"/>
      <c r="B57" s="190"/>
      <c r="C57" s="184"/>
      <c r="D57" s="184"/>
      <c r="E57" s="196"/>
      <c r="F57" s="196"/>
      <c r="G57" s="196"/>
      <c r="H57" s="196"/>
      <c r="I57" s="196"/>
      <c r="J57" s="211"/>
      <c r="K57" s="211"/>
      <c r="L57" s="211"/>
      <c r="M57" s="211"/>
      <c r="N57" s="195"/>
      <c r="O57" s="195"/>
      <c r="P57" s="195"/>
      <c r="Q57" s="195"/>
      <c r="R57" s="195"/>
      <c r="S57" s="196"/>
      <c r="T57" s="195"/>
      <c r="U57" s="195"/>
      <c r="V57" s="195"/>
      <c r="W57" s="195"/>
      <c r="X57" s="196"/>
    </row>
    <row r="58" spans="1:24">
      <c r="A58" s="190"/>
      <c r="B58" s="190"/>
      <c r="C58" s="184"/>
      <c r="D58" s="184"/>
      <c r="E58" s="201"/>
      <c r="F58" s="201"/>
      <c r="G58" s="201"/>
      <c r="H58" s="201"/>
      <c r="I58" s="201"/>
      <c r="J58" s="200"/>
      <c r="K58" s="200"/>
      <c r="L58" s="200"/>
      <c r="M58" s="200"/>
      <c r="N58" s="200"/>
      <c r="O58" s="200"/>
      <c r="P58" s="200"/>
      <c r="Q58" s="200"/>
      <c r="R58" s="200"/>
      <c r="S58" s="201"/>
      <c r="T58" s="200"/>
      <c r="U58" s="200"/>
      <c r="V58" s="200"/>
      <c r="W58" s="200"/>
      <c r="X58" s="201"/>
    </row>
    <row r="59" spans="1:24">
      <c r="A59" s="190"/>
      <c r="B59" s="190"/>
      <c r="C59" s="197"/>
      <c r="D59" s="197"/>
      <c r="E59" s="201"/>
      <c r="F59" s="201"/>
      <c r="G59" s="201"/>
      <c r="H59" s="201"/>
      <c r="I59" s="201"/>
      <c r="J59" s="200"/>
      <c r="K59" s="200"/>
      <c r="L59" s="200"/>
      <c r="M59" s="200"/>
      <c r="N59" s="200"/>
      <c r="O59" s="200"/>
      <c r="P59" s="200"/>
      <c r="Q59" s="200"/>
      <c r="R59" s="200"/>
      <c r="S59" s="201"/>
      <c r="T59" s="200"/>
      <c r="U59" s="200"/>
      <c r="V59" s="200"/>
      <c r="W59" s="200"/>
      <c r="X59" s="201"/>
    </row>
    <row r="60" spans="1:24">
      <c r="A60" s="190"/>
      <c r="B60" s="190"/>
      <c r="C60" s="184"/>
      <c r="D60" s="184"/>
      <c r="E60" s="201"/>
      <c r="F60" s="201"/>
      <c r="G60" s="201"/>
      <c r="H60" s="201"/>
      <c r="I60" s="201"/>
      <c r="J60" s="195"/>
      <c r="K60" s="195"/>
      <c r="L60" s="195"/>
      <c r="M60" s="195"/>
      <c r="N60" s="195"/>
      <c r="O60" s="195"/>
      <c r="P60" s="195"/>
      <c r="Q60" s="195"/>
      <c r="R60" s="195"/>
      <c r="S60" s="201"/>
      <c r="T60" s="195"/>
      <c r="U60" s="195"/>
      <c r="V60" s="195"/>
      <c r="W60" s="195"/>
      <c r="X60" s="201"/>
    </row>
    <row r="61" spans="1:24">
      <c r="A61" s="190"/>
      <c r="B61" s="190"/>
      <c r="C61" s="184"/>
      <c r="D61" s="184"/>
      <c r="E61" s="201"/>
      <c r="F61" s="201"/>
      <c r="G61" s="201"/>
      <c r="H61" s="201"/>
      <c r="I61" s="201"/>
      <c r="J61" s="195"/>
      <c r="K61" s="195"/>
      <c r="L61" s="195"/>
      <c r="M61" s="195"/>
      <c r="N61" s="195"/>
      <c r="O61" s="195"/>
      <c r="P61" s="195"/>
      <c r="Q61" s="195"/>
      <c r="R61" s="195"/>
      <c r="S61" s="201"/>
      <c r="T61" s="195"/>
      <c r="U61" s="195"/>
      <c r="V61" s="195"/>
      <c r="W61" s="195"/>
      <c r="X61" s="201"/>
    </row>
    <row r="62" spans="1:24">
      <c r="A62" s="190"/>
      <c r="B62" s="190"/>
      <c r="C62" s="184"/>
      <c r="D62" s="184"/>
      <c r="E62" s="201"/>
      <c r="F62" s="201"/>
      <c r="G62" s="201"/>
      <c r="H62" s="201"/>
      <c r="I62" s="201"/>
      <c r="J62" s="195"/>
      <c r="K62" s="195"/>
      <c r="L62" s="195"/>
      <c r="M62" s="195"/>
      <c r="N62" s="195"/>
      <c r="O62" s="195"/>
      <c r="P62" s="195"/>
      <c r="Q62" s="195"/>
      <c r="R62" s="195"/>
      <c r="S62" s="201"/>
      <c r="T62" s="195"/>
      <c r="U62" s="195"/>
      <c r="V62" s="195"/>
      <c r="W62" s="195"/>
      <c r="X62" s="201"/>
    </row>
    <row r="63" spans="1:24">
      <c r="A63" s="190"/>
      <c r="B63" s="190"/>
      <c r="C63" s="184"/>
      <c r="D63" s="184"/>
      <c r="E63" s="201"/>
      <c r="F63" s="201"/>
      <c r="G63" s="201"/>
      <c r="H63" s="201"/>
      <c r="I63" s="201"/>
      <c r="J63" s="195"/>
      <c r="K63" s="195"/>
      <c r="L63" s="195"/>
      <c r="M63" s="195"/>
      <c r="N63" s="195"/>
      <c r="O63" s="195"/>
      <c r="P63" s="195"/>
      <c r="Q63" s="195"/>
      <c r="R63" s="195"/>
      <c r="S63" s="201"/>
      <c r="T63" s="195"/>
      <c r="U63" s="195"/>
      <c r="V63" s="195"/>
      <c r="W63" s="195"/>
      <c r="X63" s="201"/>
    </row>
    <row r="64" spans="1:24">
      <c r="A64" s="27"/>
      <c r="B64" s="27"/>
      <c r="C64" s="184"/>
      <c r="D64" s="184"/>
      <c r="E64" s="201"/>
      <c r="F64" s="201"/>
      <c r="G64" s="201"/>
      <c r="H64" s="201"/>
      <c r="I64" s="201"/>
      <c r="J64" s="195"/>
      <c r="K64" s="195"/>
      <c r="L64" s="195"/>
      <c r="M64" s="195"/>
      <c r="N64" s="195"/>
      <c r="O64" s="195"/>
      <c r="P64" s="195"/>
      <c r="Q64" s="195"/>
      <c r="R64" s="195"/>
      <c r="S64" s="201"/>
      <c r="T64" s="195"/>
      <c r="U64" s="195"/>
      <c r="V64" s="195"/>
      <c r="W64" s="195"/>
      <c r="X64" s="201"/>
    </row>
    <row r="65" spans="1:24">
      <c r="A65" s="190"/>
      <c r="B65" s="190"/>
      <c r="C65" s="202"/>
      <c r="D65" s="202"/>
      <c r="E65" s="203"/>
      <c r="F65" s="203"/>
      <c r="G65" s="203"/>
      <c r="H65" s="203"/>
      <c r="I65" s="203"/>
      <c r="J65" s="202"/>
      <c r="K65" s="202"/>
      <c r="L65" s="202"/>
      <c r="M65" s="202"/>
      <c r="N65" s="202"/>
      <c r="O65" s="202"/>
      <c r="P65" s="202"/>
      <c r="Q65" s="202"/>
      <c r="R65" s="202"/>
      <c r="S65" s="203"/>
      <c r="T65" s="202"/>
      <c r="U65" s="202"/>
      <c r="V65" s="202"/>
      <c r="W65" s="202"/>
      <c r="X65" s="203"/>
    </row>
    <row r="66" spans="1:24">
      <c r="A66" s="190"/>
      <c r="B66" s="190"/>
      <c r="C66" s="208"/>
      <c r="D66" s="208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</row>
    <row r="67" spans="1:24">
      <c r="A67" s="190"/>
      <c r="B67" s="190"/>
      <c r="C67" s="210"/>
      <c r="D67" s="210"/>
      <c r="E67" s="210"/>
      <c r="F67" s="210"/>
      <c r="G67" s="210"/>
      <c r="H67" s="210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</row>
    <row r="68" spans="1:24">
      <c r="A68" s="190"/>
      <c r="B68" s="190"/>
      <c r="C68" s="192"/>
      <c r="D68" s="192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3"/>
      <c r="P68" s="193"/>
      <c r="Q68" s="193"/>
      <c r="R68" s="193"/>
      <c r="S68" s="194"/>
      <c r="T68" s="193"/>
      <c r="U68" s="193"/>
      <c r="V68" s="193"/>
      <c r="W68" s="193"/>
      <c r="X68" s="194"/>
    </row>
    <row r="69" spans="1:24">
      <c r="A69" s="190"/>
      <c r="B69" s="190"/>
      <c r="C69" s="184"/>
      <c r="D69" s="184"/>
      <c r="E69" s="196"/>
      <c r="F69" s="196"/>
      <c r="G69" s="196"/>
      <c r="H69" s="196"/>
      <c r="I69" s="196"/>
      <c r="J69" s="195"/>
      <c r="K69" s="195"/>
      <c r="L69" s="195"/>
      <c r="M69" s="195"/>
      <c r="N69" s="195"/>
      <c r="O69" s="195"/>
      <c r="P69" s="195"/>
      <c r="Q69" s="195"/>
      <c r="R69" s="195"/>
      <c r="S69" s="196"/>
      <c r="T69" s="195"/>
      <c r="U69" s="195"/>
      <c r="V69" s="195"/>
      <c r="W69" s="195"/>
      <c r="X69" s="196"/>
    </row>
    <row r="70" spans="1:24">
      <c r="A70" s="190"/>
      <c r="B70" s="190"/>
      <c r="C70" s="184"/>
      <c r="D70" s="184"/>
      <c r="E70" s="196"/>
      <c r="F70" s="196"/>
      <c r="G70" s="196"/>
      <c r="H70" s="196"/>
      <c r="I70" s="196"/>
      <c r="J70" s="195"/>
      <c r="K70" s="195"/>
      <c r="L70" s="195"/>
      <c r="M70" s="195"/>
      <c r="N70" s="195"/>
      <c r="O70" s="195"/>
      <c r="P70" s="195"/>
      <c r="Q70" s="195"/>
      <c r="R70" s="195"/>
      <c r="S70" s="196"/>
      <c r="T70" s="195"/>
      <c r="U70" s="195"/>
      <c r="V70" s="195"/>
      <c r="W70" s="195"/>
      <c r="X70" s="196"/>
    </row>
    <row r="71" spans="1:24">
      <c r="A71" s="190"/>
      <c r="B71" s="190"/>
      <c r="C71" s="184"/>
      <c r="D71" s="184"/>
      <c r="E71" s="196"/>
      <c r="F71" s="196"/>
      <c r="G71" s="196"/>
      <c r="H71" s="196"/>
      <c r="I71" s="196"/>
      <c r="J71" s="195"/>
      <c r="K71" s="195"/>
      <c r="L71" s="195"/>
      <c r="M71" s="195"/>
      <c r="N71" s="195"/>
      <c r="O71" s="195"/>
      <c r="P71" s="195"/>
      <c r="Q71" s="195"/>
      <c r="R71" s="195"/>
      <c r="S71" s="196"/>
      <c r="T71" s="195"/>
      <c r="U71" s="195"/>
      <c r="V71" s="195"/>
      <c r="W71" s="195"/>
      <c r="X71" s="196"/>
    </row>
    <row r="72" spans="1:24">
      <c r="A72" s="190"/>
      <c r="B72" s="190"/>
      <c r="C72" s="184"/>
      <c r="D72" s="184"/>
      <c r="E72" s="196"/>
      <c r="F72" s="196"/>
      <c r="G72" s="196"/>
      <c r="H72" s="196"/>
      <c r="I72" s="196"/>
      <c r="J72" s="195"/>
      <c r="K72" s="195"/>
      <c r="L72" s="195"/>
      <c r="M72" s="195"/>
      <c r="N72" s="195"/>
      <c r="O72" s="195"/>
      <c r="P72" s="195"/>
      <c r="Q72" s="195"/>
      <c r="R72" s="195"/>
      <c r="S72" s="196"/>
      <c r="T72" s="195"/>
      <c r="U72" s="195"/>
      <c r="V72" s="195"/>
      <c r="W72" s="195"/>
      <c r="X72" s="196"/>
    </row>
    <row r="73" spans="1:24">
      <c r="A73" s="190"/>
      <c r="B73" s="190"/>
      <c r="C73" s="184"/>
      <c r="D73" s="184"/>
      <c r="E73" s="196"/>
      <c r="F73" s="196"/>
      <c r="G73" s="196"/>
      <c r="H73" s="196"/>
      <c r="I73" s="196"/>
      <c r="J73" s="195"/>
      <c r="K73" s="195"/>
      <c r="L73" s="195"/>
      <c r="M73" s="195"/>
      <c r="N73" s="195"/>
      <c r="O73" s="195"/>
      <c r="P73" s="195"/>
      <c r="Q73" s="195"/>
      <c r="R73" s="195"/>
      <c r="S73" s="196"/>
      <c r="T73" s="195"/>
      <c r="U73" s="195"/>
      <c r="V73" s="195"/>
      <c r="W73" s="195"/>
      <c r="X73" s="196"/>
    </row>
    <row r="74" spans="1:24">
      <c r="A74" s="190"/>
      <c r="B74" s="190"/>
      <c r="C74" s="197"/>
      <c r="D74" s="197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8"/>
      <c r="P74" s="198"/>
      <c r="Q74" s="198"/>
      <c r="R74" s="198"/>
      <c r="S74" s="199"/>
      <c r="T74" s="198"/>
      <c r="U74" s="198"/>
      <c r="V74" s="198"/>
      <c r="W74" s="198"/>
      <c r="X74" s="199"/>
    </row>
    <row r="75" spans="1:24">
      <c r="A75" s="190"/>
      <c r="B75" s="190"/>
      <c r="C75" s="184"/>
      <c r="D75" s="184"/>
      <c r="E75" s="196"/>
      <c r="F75" s="196"/>
      <c r="G75" s="196"/>
      <c r="H75" s="196"/>
      <c r="I75" s="196"/>
      <c r="J75" s="196"/>
      <c r="K75" s="196"/>
      <c r="L75" s="196"/>
      <c r="M75" s="196"/>
      <c r="N75" s="195"/>
      <c r="O75" s="195"/>
      <c r="P75" s="195"/>
      <c r="Q75" s="195"/>
      <c r="R75" s="195"/>
      <c r="S75" s="196"/>
      <c r="T75" s="195"/>
      <c r="U75" s="195"/>
      <c r="V75" s="195"/>
      <c r="W75" s="195"/>
      <c r="X75" s="196"/>
    </row>
    <row r="76" spans="1:24">
      <c r="A76" s="190"/>
      <c r="B76" s="190"/>
      <c r="C76" s="184"/>
      <c r="D76" s="184"/>
      <c r="E76" s="196"/>
      <c r="F76" s="196"/>
      <c r="G76" s="196"/>
      <c r="H76" s="196"/>
      <c r="I76" s="196"/>
      <c r="J76" s="196"/>
      <c r="K76" s="196"/>
      <c r="L76" s="196"/>
      <c r="M76" s="196"/>
      <c r="N76" s="195"/>
      <c r="O76" s="195"/>
      <c r="P76" s="195"/>
      <c r="Q76" s="195"/>
      <c r="R76" s="195"/>
      <c r="S76" s="196"/>
      <c r="T76" s="195"/>
      <c r="U76" s="195"/>
      <c r="V76" s="195"/>
      <c r="W76" s="195"/>
      <c r="X76" s="196"/>
    </row>
    <row r="77" spans="1:24">
      <c r="A77" s="190"/>
      <c r="B77" s="190"/>
      <c r="C77" s="184"/>
      <c r="D77" s="184"/>
      <c r="E77" s="201"/>
      <c r="F77" s="201"/>
      <c r="G77" s="201"/>
      <c r="H77" s="201"/>
      <c r="I77" s="201"/>
      <c r="J77" s="200"/>
      <c r="K77" s="200"/>
      <c r="L77" s="200"/>
      <c r="M77" s="200"/>
      <c r="N77" s="200"/>
      <c r="O77" s="200"/>
      <c r="P77" s="200"/>
      <c r="Q77" s="200"/>
      <c r="R77" s="200"/>
      <c r="S77" s="201"/>
      <c r="T77" s="200"/>
      <c r="U77" s="200"/>
      <c r="V77" s="200"/>
      <c r="W77" s="200"/>
      <c r="X77" s="201"/>
    </row>
    <row r="78" spans="1:24">
      <c r="A78" s="190"/>
      <c r="B78" s="190"/>
      <c r="C78" s="197"/>
      <c r="D78" s="197"/>
      <c r="E78" s="201"/>
      <c r="F78" s="201"/>
      <c r="G78" s="201"/>
      <c r="H78" s="201"/>
      <c r="I78" s="201"/>
      <c r="J78" s="200"/>
      <c r="K78" s="200"/>
      <c r="L78" s="200"/>
      <c r="M78" s="200"/>
      <c r="N78" s="200"/>
      <c r="O78" s="200"/>
      <c r="P78" s="200"/>
      <c r="Q78" s="200"/>
      <c r="R78" s="200"/>
      <c r="S78" s="201"/>
      <c r="T78" s="200"/>
      <c r="U78" s="200"/>
      <c r="V78" s="200"/>
      <c r="W78" s="200"/>
      <c r="X78" s="201"/>
    </row>
    <row r="79" spans="1:24">
      <c r="A79" s="190"/>
      <c r="B79" s="190"/>
      <c r="C79" s="184"/>
      <c r="D79" s="184"/>
      <c r="E79" s="201"/>
      <c r="F79" s="201"/>
      <c r="G79" s="201"/>
      <c r="H79" s="201"/>
      <c r="I79" s="201"/>
      <c r="J79" s="195"/>
      <c r="K79" s="195"/>
      <c r="L79" s="195"/>
      <c r="M79" s="195"/>
      <c r="N79" s="195"/>
      <c r="O79" s="195"/>
      <c r="P79" s="195"/>
      <c r="Q79" s="195"/>
      <c r="R79" s="195"/>
      <c r="S79" s="201"/>
      <c r="T79" s="195"/>
      <c r="U79" s="195"/>
      <c r="V79" s="195"/>
      <c r="W79" s="195"/>
      <c r="X79" s="201"/>
    </row>
    <row r="80" spans="1:24">
      <c r="A80" s="190"/>
      <c r="B80" s="190"/>
      <c r="C80" s="184"/>
      <c r="D80" s="184"/>
      <c r="E80" s="201"/>
      <c r="F80" s="201"/>
      <c r="G80" s="201"/>
      <c r="H80" s="201"/>
      <c r="I80" s="201"/>
      <c r="J80" s="195"/>
      <c r="K80" s="195"/>
      <c r="L80" s="195"/>
      <c r="M80" s="195"/>
      <c r="N80" s="195"/>
      <c r="O80" s="195"/>
      <c r="P80" s="195"/>
      <c r="Q80" s="195"/>
      <c r="R80" s="195"/>
      <c r="S80" s="201"/>
      <c r="T80" s="195"/>
      <c r="U80" s="195"/>
      <c r="V80" s="195"/>
      <c r="W80" s="195"/>
      <c r="X80" s="201"/>
    </row>
    <row r="81" spans="1:24">
      <c r="A81" s="190"/>
      <c r="B81" s="190"/>
      <c r="C81" s="184"/>
      <c r="D81" s="184"/>
      <c r="E81" s="201"/>
      <c r="F81" s="201"/>
      <c r="G81" s="201"/>
      <c r="H81" s="201"/>
      <c r="I81" s="201"/>
      <c r="J81" s="195"/>
      <c r="K81" s="195"/>
      <c r="L81" s="195"/>
      <c r="M81" s="195"/>
      <c r="N81" s="195"/>
      <c r="O81" s="195"/>
      <c r="P81" s="195"/>
      <c r="Q81" s="195"/>
      <c r="R81" s="195"/>
      <c r="S81" s="201"/>
      <c r="T81" s="195"/>
      <c r="U81" s="195"/>
      <c r="V81" s="195"/>
      <c r="W81" s="195"/>
      <c r="X81" s="201"/>
    </row>
    <row r="82" spans="1:24">
      <c r="A82" s="190"/>
      <c r="B82" s="190"/>
      <c r="C82" s="202"/>
      <c r="D82" s="202"/>
      <c r="E82" s="203"/>
      <c r="F82" s="203"/>
      <c r="G82" s="203"/>
      <c r="H82" s="203"/>
      <c r="I82" s="203"/>
      <c r="J82" s="202"/>
      <c r="K82" s="202"/>
      <c r="L82" s="202"/>
      <c r="M82" s="202"/>
      <c r="N82" s="202"/>
      <c r="O82" s="202"/>
      <c r="P82" s="202"/>
      <c r="Q82" s="202"/>
      <c r="R82" s="202"/>
      <c r="S82" s="203"/>
      <c r="T82" s="202"/>
      <c r="U82" s="202"/>
      <c r="V82" s="202"/>
      <c r="W82" s="202"/>
      <c r="X82" s="203"/>
    </row>
    <row r="83" spans="1:24">
      <c r="A83" s="27"/>
      <c r="B83" s="27"/>
      <c r="C83" s="204"/>
      <c r="D83" s="204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</row>
    <row r="84" spans="1:24">
      <c r="A84" s="27"/>
      <c r="B84" s="27"/>
      <c r="C84" s="204"/>
      <c r="D84" s="204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</row>
    <row r="85" spans="1:24">
      <c r="A85" s="27"/>
      <c r="B85" s="27"/>
      <c r="C85" s="204"/>
      <c r="D85" s="204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1:24"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1:24"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</sheetData>
  <mergeCells count="11">
    <mergeCell ref="C1:X1"/>
    <mergeCell ref="C43:X43"/>
    <mergeCell ref="C20:H20"/>
    <mergeCell ref="I20:R20"/>
    <mergeCell ref="S20:X20"/>
    <mergeCell ref="C21:H21"/>
    <mergeCell ref="E3:H5"/>
    <mergeCell ref="J5:M5"/>
    <mergeCell ref="J3:W3"/>
    <mergeCell ref="O5:R5"/>
    <mergeCell ref="T5:W5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showGridLines="0" view="pageBreakPreview" zoomScale="90" zoomScaleNormal="90" zoomScaleSheetLayoutView="90" workbookViewId="0">
      <selection activeCell="X31" sqref="X31"/>
    </sheetView>
  </sheetViews>
  <sheetFormatPr defaultRowHeight="15"/>
  <cols>
    <col min="1" max="1" width="17.85546875" style="77" customWidth="1"/>
    <col min="2" max="2" width="1.7109375" style="77" customWidth="1"/>
    <col min="3" max="3" width="32.140625" style="77" customWidth="1"/>
    <col min="4" max="5" width="7.42578125" style="77" customWidth="1"/>
    <col min="6" max="6" width="7.42578125" style="77" hidden="1" customWidth="1"/>
    <col min="7" max="9" width="7.42578125" style="77" customWidth="1"/>
    <col min="10" max="10" width="7.42578125" style="77" hidden="1" customWidth="1"/>
    <col min="11" max="13" width="7.42578125" style="77" customWidth="1"/>
    <col min="14" max="14" width="7.42578125" style="77" hidden="1" customWidth="1"/>
    <col min="15" max="17" width="7.42578125" style="77" customWidth="1"/>
    <col min="18" max="18" width="7.42578125" style="77" hidden="1" customWidth="1"/>
    <col min="19" max="21" width="7.42578125" style="77" customWidth="1"/>
    <col min="22" max="22" width="7.42578125" style="77" hidden="1" customWidth="1"/>
    <col min="23" max="25" width="7.42578125" style="77" customWidth="1"/>
    <col min="26" max="26" width="7.42578125" style="77" hidden="1" customWidth="1"/>
    <col min="27" max="27" width="7.42578125" style="77" customWidth="1"/>
    <col min="28" max="28" width="1" style="77" customWidth="1"/>
    <col min="29" max="16384" width="9.140625" style="77"/>
  </cols>
  <sheetData>
    <row r="1" spans="1:33" ht="35.25" customHeight="1">
      <c r="A1" s="827"/>
      <c r="B1" s="168"/>
      <c r="C1" s="1307" t="s">
        <v>478</v>
      </c>
      <c r="D1" s="1307"/>
      <c r="E1" s="1307"/>
      <c r="F1" s="1307"/>
      <c r="G1" s="1307"/>
      <c r="H1" s="1307"/>
      <c r="I1" s="1307"/>
      <c r="J1" s="1307"/>
      <c r="K1" s="1307"/>
      <c r="L1" s="1307"/>
      <c r="M1" s="1307"/>
      <c r="N1" s="1307"/>
      <c r="O1" s="1307"/>
      <c r="P1" s="1307"/>
      <c r="Q1" s="1307"/>
      <c r="R1" s="1307"/>
      <c r="S1" s="1307"/>
      <c r="T1" s="1307"/>
      <c r="U1" s="1307"/>
      <c r="V1" s="1307"/>
      <c r="W1" s="1307"/>
      <c r="X1" s="1307"/>
      <c r="Y1" s="1307"/>
      <c r="Z1" s="1307"/>
      <c r="AA1" s="1307"/>
      <c r="AB1" s="1307"/>
    </row>
    <row r="2" spans="1:33" ht="9.75" customHeight="1">
      <c r="A2" s="169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</row>
    <row r="3" spans="1:33" ht="15.75">
      <c r="A3" s="169"/>
      <c r="C3" s="449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</row>
    <row r="4" spans="1:33" ht="15.75">
      <c r="A4" s="169"/>
      <c r="C4" s="449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</row>
    <row r="5" spans="1:33" ht="22.5" customHeight="1">
      <c r="A5" s="169"/>
      <c r="C5" s="449"/>
      <c r="D5" s="1343" t="s">
        <v>481</v>
      </c>
      <c r="E5" s="1322"/>
      <c r="F5" s="1322"/>
      <c r="G5" s="1344"/>
      <c r="H5" s="1343" t="s">
        <v>483</v>
      </c>
      <c r="I5" s="1322"/>
      <c r="J5" s="1322"/>
      <c r="K5" s="1344"/>
      <c r="L5" s="1343" t="s">
        <v>498</v>
      </c>
      <c r="M5" s="1322"/>
      <c r="N5" s="1322"/>
      <c r="O5" s="1344"/>
      <c r="P5" s="1343" t="s">
        <v>504</v>
      </c>
      <c r="Q5" s="1322"/>
      <c r="R5" s="1322"/>
      <c r="S5" s="1344"/>
      <c r="T5" s="1343" t="s">
        <v>506</v>
      </c>
      <c r="U5" s="1322"/>
      <c r="V5" s="1322"/>
      <c r="W5" s="1344"/>
      <c r="X5" s="1343" t="s">
        <v>539</v>
      </c>
      <c r="Y5" s="1322"/>
      <c r="Z5" s="1322"/>
      <c r="AA5" s="1322"/>
      <c r="AB5" s="329"/>
    </row>
    <row r="6" spans="1:33" ht="23.25" customHeight="1" thickBot="1">
      <c r="A6" s="174"/>
      <c r="B6" s="109"/>
      <c r="C6" s="503" t="s">
        <v>192</v>
      </c>
      <c r="D6" s="733" t="s">
        <v>228</v>
      </c>
      <c r="E6" s="734" t="s">
        <v>229</v>
      </c>
      <c r="F6" s="735" t="s">
        <v>5</v>
      </c>
      <c r="G6" s="734" t="s">
        <v>230</v>
      </c>
      <c r="H6" s="733" t="s">
        <v>228</v>
      </c>
      <c r="I6" s="734" t="s">
        <v>229</v>
      </c>
      <c r="J6" s="735" t="s">
        <v>5</v>
      </c>
      <c r="K6" s="734" t="s">
        <v>230</v>
      </c>
      <c r="L6" s="733" t="s">
        <v>228</v>
      </c>
      <c r="M6" s="734" t="s">
        <v>229</v>
      </c>
      <c r="N6" s="735" t="s">
        <v>5</v>
      </c>
      <c r="O6" s="734" t="s">
        <v>230</v>
      </c>
      <c r="P6" s="733" t="s">
        <v>228</v>
      </c>
      <c r="Q6" s="734" t="s">
        <v>229</v>
      </c>
      <c r="R6" s="735" t="s">
        <v>5</v>
      </c>
      <c r="S6" s="734" t="s">
        <v>230</v>
      </c>
      <c r="T6" s="733" t="s">
        <v>228</v>
      </c>
      <c r="U6" s="734" t="s">
        <v>229</v>
      </c>
      <c r="V6" s="735" t="s">
        <v>5</v>
      </c>
      <c r="W6" s="734" t="s">
        <v>230</v>
      </c>
      <c r="X6" s="733" t="s">
        <v>228</v>
      </c>
      <c r="Y6" s="734" t="s">
        <v>229</v>
      </c>
      <c r="Z6" s="735" t="s">
        <v>5</v>
      </c>
      <c r="AA6" s="734" t="s">
        <v>230</v>
      </c>
      <c r="AB6" s="735"/>
    </row>
    <row r="7" spans="1:33" ht="20.25" customHeight="1">
      <c r="A7" s="174"/>
      <c r="B7" s="109"/>
      <c r="C7" s="730" t="s">
        <v>207</v>
      </c>
      <c r="D7" s="782">
        <v>196.80699999999999</v>
      </c>
      <c r="E7" s="781">
        <f>D7/D28</f>
        <v>2.2725397644229113E-3</v>
      </c>
      <c r="F7" s="783">
        <v>0.48</v>
      </c>
      <c r="G7" s="330">
        <f t="shared" ref="G7:G26" si="0">+F7/D7</f>
        <v>2.4389376394132324E-3</v>
      </c>
      <c r="H7" s="782">
        <v>189.029</v>
      </c>
      <c r="I7" s="781">
        <f>H7/H28</f>
        <v>2.1561101591399761E-3</v>
      </c>
      <c r="J7" s="783">
        <v>1.929</v>
      </c>
      <c r="K7" s="330">
        <f t="shared" ref="K7:K26" si="1">+J7/H7</f>
        <v>1.0204783393024351E-2</v>
      </c>
      <c r="L7" s="782">
        <v>182.17699999999999</v>
      </c>
      <c r="M7" s="781">
        <f>L7/L28</f>
        <v>2.0979016469363397E-3</v>
      </c>
      <c r="N7" s="783">
        <v>6.1580000000000004</v>
      </c>
      <c r="O7" s="330">
        <f t="shared" ref="O7:O26" si="2">+N7/L7</f>
        <v>3.3802291178359513E-2</v>
      </c>
      <c r="P7" s="782">
        <v>175.774</v>
      </c>
      <c r="Q7" s="781">
        <f>P7/P28</f>
        <v>2.0199423541773457E-3</v>
      </c>
      <c r="R7" s="783">
        <v>4.8109999999999999</v>
      </c>
      <c r="S7" s="330">
        <f t="shared" ref="S7:S26" si="3">+R7/P7</f>
        <v>2.7370373320286277E-2</v>
      </c>
      <c r="T7" s="1088">
        <v>168.965</v>
      </c>
      <c r="U7" s="1089">
        <f>T7/T28</f>
        <v>2.0088568514870851E-3</v>
      </c>
      <c r="V7" s="1090">
        <v>1.0780000000000001</v>
      </c>
      <c r="W7" s="1091">
        <f t="shared" ref="W7:W25" si="4">+V7/T7</f>
        <v>6.380019530672033E-3</v>
      </c>
      <c r="X7" s="1178">
        <v>162.34100000000001</v>
      </c>
      <c r="Y7" s="994">
        <f>X7/X28</f>
        <v>1.8964648484508574E-3</v>
      </c>
      <c r="Z7" s="998">
        <v>1.0860000000000001</v>
      </c>
      <c r="AA7" s="1001">
        <f t="shared" ref="AA7:AA25" si="5">+Z7/X7</f>
        <v>6.6896224613621942E-3</v>
      </c>
      <c r="AB7" s="330" t="e">
        <f>+#REF!/#REF!</f>
        <v>#REF!</v>
      </c>
      <c r="AD7" s="196"/>
      <c r="AE7" s="196"/>
      <c r="AF7" s="196"/>
      <c r="AG7" s="196"/>
    </row>
    <row r="8" spans="1:33" ht="20.25" customHeight="1">
      <c r="A8" s="174"/>
      <c r="B8" s="109"/>
      <c r="C8" s="730" t="s">
        <v>208</v>
      </c>
      <c r="D8" s="785">
        <v>90.432000000000002</v>
      </c>
      <c r="E8" s="784">
        <f>D8/D28</f>
        <v>1.0442225935880978E-3</v>
      </c>
      <c r="F8" s="786">
        <v>0.59199999999999997</v>
      </c>
      <c r="G8" s="331">
        <f t="shared" si="0"/>
        <v>6.5463552724699219E-3</v>
      </c>
      <c r="H8" s="785">
        <v>86.456000000000003</v>
      </c>
      <c r="I8" s="784">
        <f>H8/H28</f>
        <v>9.8613789375495697E-4</v>
      </c>
      <c r="J8" s="786">
        <v>0.17</v>
      </c>
      <c r="K8" s="331">
        <f t="shared" si="1"/>
        <v>1.9663181271398168E-3</v>
      </c>
      <c r="L8" s="785">
        <v>94.605999999999995</v>
      </c>
      <c r="M8" s="784">
        <f>L8/L28</f>
        <v>1.0894574134498829E-3</v>
      </c>
      <c r="N8" s="786">
        <v>1.2509999999999999</v>
      </c>
      <c r="O8" s="331">
        <f t="shared" si="2"/>
        <v>1.3223262795171553E-2</v>
      </c>
      <c r="P8" s="785">
        <v>99.171999999999997</v>
      </c>
      <c r="Q8" s="784">
        <f>P8/P28</f>
        <v>1.139655029460988E-3</v>
      </c>
      <c r="R8" s="786">
        <v>2.8380000000000001</v>
      </c>
      <c r="S8" s="331">
        <f t="shared" si="3"/>
        <v>2.8616948332190539E-2</v>
      </c>
      <c r="T8" s="1092">
        <v>99.652000000000001</v>
      </c>
      <c r="U8" s="1093">
        <f>T8/T28</f>
        <v>1.1847814811611339E-3</v>
      </c>
      <c r="V8" s="1094">
        <v>2.8260000000000001</v>
      </c>
      <c r="W8" s="1095">
        <f t="shared" si="4"/>
        <v>2.8358688235058001E-2</v>
      </c>
      <c r="X8" s="1179">
        <v>103.07899999999999</v>
      </c>
      <c r="Y8" s="995">
        <f>X8/X28</f>
        <v>1.2041671550222428E-3</v>
      </c>
      <c r="Z8" s="999">
        <v>2.7850000000000001</v>
      </c>
      <c r="AA8" s="1002">
        <f t="shared" si="5"/>
        <v>2.7018112321617403E-2</v>
      </c>
      <c r="AB8" s="331" t="e">
        <f>+#REF!/#REF!</f>
        <v>#REF!</v>
      </c>
      <c r="AD8" s="196"/>
      <c r="AE8" s="196"/>
      <c r="AF8" s="196"/>
      <c r="AG8" s="196"/>
    </row>
    <row r="9" spans="1:33" ht="20.25" customHeight="1">
      <c r="A9" s="174"/>
      <c r="B9" s="109"/>
      <c r="C9" s="730" t="s">
        <v>209</v>
      </c>
      <c r="D9" s="785">
        <v>28071.911</v>
      </c>
      <c r="E9" s="784">
        <f>D9/D28</f>
        <v>0.32414768789139076</v>
      </c>
      <c r="F9" s="786">
        <v>265.02499999999998</v>
      </c>
      <c r="G9" s="331">
        <f t="shared" si="0"/>
        <v>9.4409318980813225E-3</v>
      </c>
      <c r="H9" s="785">
        <v>28394.404999999999</v>
      </c>
      <c r="I9" s="784">
        <f>H9/H28</f>
        <v>0.32387340081804872</v>
      </c>
      <c r="J9" s="786">
        <v>252.26</v>
      </c>
      <c r="K9" s="331">
        <f t="shared" si="1"/>
        <v>8.8841446052488164E-3</v>
      </c>
      <c r="L9" s="785">
        <v>27805.883999999998</v>
      </c>
      <c r="M9" s="784">
        <f>L9/L28</f>
        <v>0.32020512928701655</v>
      </c>
      <c r="N9" s="786">
        <v>391.99799999999999</v>
      </c>
      <c r="O9" s="331">
        <f t="shared" si="2"/>
        <v>1.4097663645579475E-2</v>
      </c>
      <c r="P9" s="785">
        <v>27642.417000000001</v>
      </c>
      <c r="Q9" s="784">
        <f>P9/P28</f>
        <v>0.31765840721683458</v>
      </c>
      <c r="R9" s="786">
        <v>329.613</v>
      </c>
      <c r="S9" s="331">
        <f t="shared" si="3"/>
        <v>1.1924174358559166E-2</v>
      </c>
      <c r="T9" s="1092">
        <v>25780.802</v>
      </c>
      <c r="U9" s="1093">
        <f>T9/T28</f>
        <v>0.30651283244773736</v>
      </c>
      <c r="V9" s="1094">
        <v>268.36</v>
      </c>
      <c r="W9" s="1095">
        <f t="shared" si="4"/>
        <v>1.0409296033536894E-2</v>
      </c>
      <c r="X9" s="1179">
        <v>26194.664000000001</v>
      </c>
      <c r="Y9" s="995">
        <f>X9/X28</f>
        <v>0.30600562700107259</v>
      </c>
      <c r="Z9" s="999">
        <v>313.67500000000001</v>
      </c>
      <c r="AA9" s="1002">
        <f t="shared" si="5"/>
        <v>1.1974767074698878E-2</v>
      </c>
      <c r="AB9" s="331" t="e">
        <f>+#REF!/#REF!</f>
        <v>#REF!</v>
      </c>
      <c r="AD9" s="196"/>
      <c r="AE9" s="196"/>
      <c r="AF9" s="196"/>
      <c r="AG9" s="196"/>
    </row>
    <row r="10" spans="1:33" ht="20.25" customHeight="1">
      <c r="A10" s="174"/>
      <c r="B10" s="109"/>
      <c r="C10" s="730" t="s">
        <v>210</v>
      </c>
      <c r="D10" s="785">
        <v>1052.9259999999999</v>
      </c>
      <c r="E10" s="784">
        <f>D10/D28</f>
        <v>1.2158186466918141E-2</v>
      </c>
      <c r="F10" s="786">
        <v>0.182</v>
      </c>
      <c r="G10" s="331">
        <f t="shared" si="0"/>
        <v>1.7285165339254611E-4</v>
      </c>
      <c r="H10" s="785">
        <v>1075.7819999999999</v>
      </c>
      <c r="I10" s="784">
        <f>H10/H28</f>
        <v>1.2270627783143971E-2</v>
      </c>
      <c r="J10" s="786">
        <v>0.18099999999999999</v>
      </c>
      <c r="K10" s="331">
        <f t="shared" si="1"/>
        <v>1.6824970114763028E-4</v>
      </c>
      <c r="L10" s="785">
        <v>1090.394</v>
      </c>
      <c r="M10" s="784">
        <f>L10/L28</f>
        <v>1.2556685906615562E-2</v>
      </c>
      <c r="N10" s="786">
        <v>0</v>
      </c>
      <c r="O10" s="331">
        <f t="shared" si="2"/>
        <v>0</v>
      </c>
      <c r="P10" s="785">
        <v>1073.8879999999999</v>
      </c>
      <c r="Q10" s="784">
        <f>P10/P28</f>
        <v>1.2340800430341239E-2</v>
      </c>
      <c r="R10" s="786">
        <v>0.17100000000000001</v>
      </c>
      <c r="S10" s="331">
        <f t="shared" si="3"/>
        <v>1.5923448255311543E-4</v>
      </c>
      <c r="T10" s="1092">
        <v>1083.0730000000001</v>
      </c>
      <c r="U10" s="1093">
        <f>T10/T28</f>
        <v>1.2876859803572763E-2</v>
      </c>
      <c r="V10" s="1094">
        <v>0.17399999999999999</v>
      </c>
      <c r="W10" s="1095">
        <f t="shared" si="4"/>
        <v>1.6065399100522308E-4</v>
      </c>
      <c r="X10" s="1179">
        <v>1076.818</v>
      </c>
      <c r="Y10" s="995">
        <f>X10/X28</f>
        <v>1.2579369876858927E-2</v>
      </c>
      <c r="Z10" s="999">
        <v>7.6999999999999999E-2</v>
      </c>
      <c r="AA10" s="1002">
        <f t="shared" si="5"/>
        <v>7.1506977037902409E-5</v>
      </c>
      <c r="AB10" s="331" t="e">
        <f>+#REF!/#REF!</f>
        <v>#REF!</v>
      </c>
      <c r="AD10" s="196"/>
      <c r="AE10" s="196"/>
      <c r="AF10" s="196"/>
      <c r="AG10" s="196"/>
    </row>
    <row r="11" spans="1:33" ht="20.25" customHeight="1">
      <c r="A11" s="174"/>
      <c r="B11" s="109"/>
      <c r="C11" s="730" t="s">
        <v>211</v>
      </c>
      <c r="D11" s="785">
        <v>699.47500000000002</v>
      </c>
      <c r="E11" s="784">
        <f>D11/D28</f>
        <v>8.0768710041803204E-3</v>
      </c>
      <c r="F11" s="786">
        <v>9.5660000000000007</v>
      </c>
      <c r="G11" s="331">
        <f t="shared" si="0"/>
        <v>1.3675971264162408E-2</v>
      </c>
      <c r="H11" s="785">
        <v>736.89499999999998</v>
      </c>
      <c r="I11" s="784">
        <f>H11/H28</f>
        <v>8.4052012956713131E-3</v>
      </c>
      <c r="J11" s="786">
        <v>11.414</v>
      </c>
      <c r="K11" s="331">
        <f t="shared" si="1"/>
        <v>1.5489316659768352E-2</v>
      </c>
      <c r="L11" s="785">
        <v>751.048</v>
      </c>
      <c r="M11" s="784">
        <f>L11/L28</f>
        <v>8.6488680575936804E-3</v>
      </c>
      <c r="N11" s="786">
        <v>11.191000000000001</v>
      </c>
      <c r="O11" s="331">
        <f t="shared" si="2"/>
        <v>1.4900512350741897E-2</v>
      </c>
      <c r="P11" s="785">
        <v>708.399</v>
      </c>
      <c r="Q11" s="784">
        <f>P11/P28</f>
        <v>8.1407099102078651E-3</v>
      </c>
      <c r="R11" s="786">
        <v>10.433999999999999</v>
      </c>
      <c r="S11" s="331">
        <f t="shared" si="3"/>
        <v>1.4728987477396212E-2</v>
      </c>
      <c r="T11" s="1092">
        <v>676.51400000000001</v>
      </c>
      <c r="U11" s="1093">
        <f>T11/T28</f>
        <v>8.0432029356785947E-3</v>
      </c>
      <c r="V11" s="1094">
        <v>7.37</v>
      </c>
      <c r="W11" s="1095">
        <f t="shared" si="4"/>
        <v>1.0894083492728902E-2</v>
      </c>
      <c r="X11" s="1179">
        <v>689.47500000000002</v>
      </c>
      <c r="Y11" s="995">
        <f>X11/X28</f>
        <v>8.0544354253432888E-3</v>
      </c>
      <c r="Z11" s="999">
        <v>5.5970000000000004</v>
      </c>
      <c r="AA11" s="1002">
        <f t="shared" si="5"/>
        <v>8.117770767613039E-3</v>
      </c>
      <c r="AB11" s="331" t="e">
        <f>+#REF!/#REF!</f>
        <v>#REF!</v>
      </c>
      <c r="AD11" s="196"/>
      <c r="AE11" s="196"/>
      <c r="AF11" s="196"/>
      <c r="AG11" s="196"/>
    </row>
    <row r="12" spans="1:33" ht="20.25" customHeight="1">
      <c r="A12" s="174"/>
      <c r="B12" s="109"/>
      <c r="C12" s="730" t="s">
        <v>212</v>
      </c>
      <c r="D12" s="785">
        <v>4251.4520000000002</v>
      </c>
      <c r="E12" s="784">
        <f>D12/D$28</f>
        <v>4.9091717909095292E-2</v>
      </c>
      <c r="F12" s="786">
        <v>223.922</v>
      </c>
      <c r="G12" s="331">
        <f t="shared" si="0"/>
        <v>5.2669535020035504E-2</v>
      </c>
      <c r="H12" s="785">
        <v>4432.9080000000004</v>
      </c>
      <c r="I12" s="784">
        <f>H12/H$28</f>
        <v>5.0562812972257558E-2</v>
      </c>
      <c r="J12" s="786">
        <v>35.79</v>
      </c>
      <c r="K12" s="331">
        <f t="shared" si="1"/>
        <v>8.0737069210549822E-3</v>
      </c>
      <c r="L12" s="785">
        <v>3893.1849999999999</v>
      </c>
      <c r="M12" s="784">
        <f>L12/L$28</f>
        <v>4.4832878043484375E-2</v>
      </c>
      <c r="N12" s="786">
        <v>33.588000000000001</v>
      </c>
      <c r="O12" s="331">
        <f t="shared" si="2"/>
        <v>8.6273834919224236E-3</v>
      </c>
      <c r="P12" s="785">
        <v>3816.0030000000002</v>
      </c>
      <c r="Q12" s="784">
        <f>P12/P$28</f>
        <v>4.3852367718592133E-2</v>
      </c>
      <c r="R12" s="786">
        <v>31.876999999999999</v>
      </c>
      <c r="S12" s="331">
        <f t="shared" si="3"/>
        <v>8.35350496317744E-3</v>
      </c>
      <c r="T12" s="1092">
        <v>3022.4450000000002</v>
      </c>
      <c r="U12" s="1093">
        <f>T12/T$28</f>
        <v>3.5934420421346924E-2</v>
      </c>
      <c r="V12" s="1094">
        <v>23.263000000000002</v>
      </c>
      <c r="W12" s="1095">
        <f t="shared" si="4"/>
        <v>7.6967488242135097E-3</v>
      </c>
      <c r="X12" s="1179">
        <v>3132.2449999999999</v>
      </c>
      <c r="Y12" s="995">
        <f>X12/X$28</f>
        <v>3.6590833734151909E-2</v>
      </c>
      <c r="Z12" s="999">
        <v>27.167999999999999</v>
      </c>
      <c r="AA12" s="1002">
        <f t="shared" si="5"/>
        <v>8.6736510075042031E-3</v>
      </c>
      <c r="AB12" s="331" t="e">
        <f>+#REF!/#REF!</f>
        <v>#REF!</v>
      </c>
      <c r="AD12" s="196"/>
      <c r="AE12" s="196"/>
      <c r="AF12" s="196"/>
      <c r="AG12" s="196"/>
    </row>
    <row r="13" spans="1:33" ht="20.25" customHeight="1">
      <c r="A13" s="174"/>
      <c r="B13" s="109"/>
      <c r="C13" s="730" t="s">
        <v>213</v>
      </c>
      <c r="D13" s="785">
        <v>12511.341</v>
      </c>
      <c r="E13" s="784">
        <f>D13/D$28</f>
        <v>0.14446904799501398</v>
      </c>
      <c r="F13" s="786">
        <v>108.399</v>
      </c>
      <c r="G13" s="331">
        <f t="shared" si="0"/>
        <v>8.6640592723034246E-3</v>
      </c>
      <c r="H13" s="785">
        <v>12634.036</v>
      </c>
      <c r="I13" s="784">
        <f>H13/H$28</f>
        <v>0.1441068479997259</v>
      </c>
      <c r="J13" s="786">
        <v>95.302000000000007</v>
      </c>
      <c r="K13" s="331">
        <f t="shared" si="1"/>
        <v>7.5432743740796691E-3</v>
      </c>
      <c r="L13" s="785">
        <v>12731.878000000001</v>
      </c>
      <c r="M13" s="784">
        <f>L13/L$28</f>
        <v>0.14661690457517992</v>
      </c>
      <c r="N13" s="786">
        <v>94.634</v>
      </c>
      <c r="O13" s="331">
        <f t="shared" si="2"/>
        <v>7.4328390517094172E-3</v>
      </c>
      <c r="P13" s="785">
        <v>12485.406999999999</v>
      </c>
      <c r="Q13" s="784">
        <f>P13/P$28</f>
        <v>0.14347857139532758</v>
      </c>
      <c r="R13" s="786">
        <v>85.6</v>
      </c>
      <c r="S13" s="331">
        <f t="shared" si="3"/>
        <v>6.8560039732785639E-3</v>
      </c>
      <c r="T13" s="1092">
        <v>12193.623</v>
      </c>
      <c r="U13" s="1093">
        <f>T13/T$28</f>
        <v>0.14497229075844409</v>
      </c>
      <c r="V13" s="1094">
        <v>63.9</v>
      </c>
      <c r="W13" s="1095">
        <f t="shared" si="4"/>
        <v>5.240444123949051E-3</v>
      </c>
      <c r="X13" s="1179">
        <v>12484.154</v>
      </c>
      <c r="Y13" s="995">
        <f>X13/X$28</f>
        <v>0.14583967835387959</v>
      </c>
      <c r="Z13" s="999">
        <v>59.122999999999998</v>
      </c>
      <c r="AA13" s="1002">
        <f t="shared" si="5"/>
        <v>4.7358435341313477E-3</v>
      </c>
      <c r="AB13" s="331" t="e">
        <f>+#REF!/#REF!</f>
        <v>#REF!</v>
      </c>
      <c r="AD13" s="196"/>
      <c r="AE13" s="196"/>
      <c r="AF13" s="196"/>
      <c r="AG13" s="196"/>
    </row>
    <row r="14" spans="1:33" ht="20.25" customHeight="1">
      <c r="A14" s="174"/>
      <c r="B14" s="109"/>
      <c r="C14" s="730" t="s">
        <v>214</v>
      </c>
      <c r="D14" s="785">
        <v>2352.1350000000002</v>
      </c>
      <c r="E14" s="784">
        <f>D14/D$28</f>
        <v>2.716021441712381E-2</v>
      </c>
      <c r="F14" s="786">
        <v>14.823</v>
      </c>
      <c r="G14" s="331">
        <f t="shared" si="0"/>
        <v>6.3019342002053448E-3</v>
      </c>
      <c r="H14" s="785">
        <v>2338.5509999999999</v>
      </c>
      <c r="I14" s="784">
        <f>H14/H$28</f>
        <v>2.6674074183151528E-2</v>
      </c>
      <c r="J14" s="786">
        <v>19.327999999999999</v>
      </c>
      <c r="K14" s="331">
        <f t="shared" si="1"/>
        <v>8.26494696929851E-3</v>
      </c>
      <c r="L14" s="785">
        <v>2358.9259999999999</v>
      </c>
      <c r="M14" s="784">
        <f>L14/L$28</f>
        <v>2.7164761415551644E-2</v>
      </c>
      <c r="N14" s="786">
        <v>14.598000000000001</v>
      </c>
      <c r="O14" s="331">
        <f t="shared" si="2"/>
        <v>6.1884094710898101E-3</v>
      </c>
      <c r="P14" s="785">
        <v>2355.8470000000002</v>
      </c>
      <c r="Q14" s="784">
        <f>P14/P$28</f>
        <v>2.7072690700909334E-2</v>
      </c>
      <c r="R14" s="786">
        <v>6.4539999999999997</v>
      </c>
      <c r="S14" s="331">
        <f t="shared" si="3"/>
        <v>2.7395667036102084E-3</v>
      </c>
      <c r="T14" s="1092">
        <v>2409.3389999999999</v>
      </c>
      <c r="U14" s="1093">
        <f>T14/T$28</f>
        <v>2.864508719382737E-2</v>
      </c>
      <c r="V14" s="1094">
        <v>4.6020000000000003</v>
      </c>
      <c r="W14" s="1095">
        <f t="shared" si="4"/>
        <v>1.9100674500350512E-3</v>
      </c>
      <c r="X14" s="1179">
        <v>2292.7939999999999</v>
      </c>
      <c r="Y14" s="995">
        <f>X14/X$28</f>
        <v>2.6784381183675317E-2</v>
      </c>
      <c r="Z14" s="999">
        <v>8.6630000000000003</v>
      </c>
      <c r="AA14" s="1002">
        <f t="shared" si="5"/>
        <v>3.7783595037321279E-3</v>
      </c>
      <c r="AB14" s="331" t="e">
        <f>+#REF!/#REF!</f>
        <v>#REF!</v>
      </c>
      <c r="AD14" s="196"/>
      <c r="AE14" s="196"/>
      <c r="AF14" s="196"/>
      <c r="AG14" s="196"/>
    </row>
    <row r="15" spans="1:33" ht="20.25" customHeight="1">
      <c r="A15" s="174"/>
      <c r="B15" s="109"/>
      <c r="C15" s="730" t="s">
        <v>215</v>
      </c>
      <c r="D15" s="785">
        <v>3535.5720000000001</v>
      </c>
      <c r="E15" s="784">
        <f>D15/D$28</f>
        <v>4.0825417591753559E-2</v>
      </c>
      <c r="F15" s="786">
        <v>55.052</v>
      </c>
      <c r="G15" s="331">
        <f t="shared" si="0"/>
        <v>1.5570889236593116E-2</v>
      </c>
      <c r="H15" s="785">
        <v>3545.1590000000001</v>
      </c>
      <c r="I15" s="784">
        <f>H15/H$28</f>
        <v>4.0436934733117769E-2</v>
      </c>
      <c r="J15" s="786">
        <v>59.936</v>
      </c>
      <c r="K15" s="331">
        <f t="shared" si="1"/>
        <v>1.6906434944102648E-2</v>
      </c>
      <c r="L15" s="785">
        <v>3466.7289999999998</v>
      </c>
      <c r="M15" s="784">
        <f>L15/L$28</f>
        <v>3.9921924713778187E-2</v>
      </c>
      <c r="N15" s="786">
        <v>19.965</v>
      </c>
      <c r="O15" s="331">
        <f t="shared" si="2"/>
        <v>5.7590310635760684E-3</v>
      </c>
      <c r="P15" s="785">
        <v>3487.7840000000001</v>
      </c>
      <c r="Q15" s="784">
        <f>P15/P$28</f>
        <v>4.008057291648412E-2</v>
      </c>
      <c r="R15" s="786">
        <v>19.681000000000001</v>
      </c>
      <c r="S15" s="331">
        <f t="shared" si="3"/>
        <v>5.6428379739112289E-3</v>
      </c>
      <c r="T15" s="1092">
        <v>3535.0070000000001</v>
      </c>
      <c r="U15" s="1093">
        <f>T15/T$28</f>
        <v>4.2028367010947865E-2</v>
      </c>
      <c r="V15" s="1094">
        <v>17.77</v>
      </c>
      <c r="W15" s="1095">
        <f t="shared" si="4"/>
        <v>5.0268641617965673E-3</v>
      </c>
      <c r="X15" s="1179">
        <v>3581.8029999999999</v>
      </c>
      <c r="Y15" s="995">
        <f>X15/X$28</f>
        <v>4.1842562775736419E-2</v>
      </c>
      <c r="Z15" s="999">
        <v>8.83</v>
      </c>
      <c r="AA15" s="1002">
        <f t="shared" si="5"/>
        <v>2.4652388755048785E-3</v>
      </c>
      <c r="AB15" s="331" t="e">
        <f>+#REF!/#REF!</f>
        <v>#REF!</v>
      </c>
      <c r="AD15" s="196"/>
      <c r="AE15" s="196"/>
      <c r="AF15" s="196"/>
      <c r="AG15" s="196"/>
    </row>
    <row r="16" spans="1:33" ht="20.25" customHeight="1">
      <c r="A16" s="174"/>
      <c r="B16" s="109"/>
      <c r="C16" s="731" t="s">
        <v>216</v>
      </c>
      <c r="D16" s="785">
        <v>2159.2040000000002</v>
      </c>
      <c r="E16" s="784">
        <f>D16/D$28</f>
        <v>2.493243100855665E-2</v>
      </c>
      <c r="F16" s="786">
        <v>15.03</v>
      </c>
      <c r="G16" s="331">
        <f t="shared" si="0"/>
        <v>6.9608985533557727E-3</v>
      </c>
      <c r="H16" s="785">
        <v>2095.3290000000002</v>
      </c>
      <c r="I16" s="784">
        <f>H16/H$28</f>
        <v>2.3899825654479508E-2</v>
      </c>
      <c r="J16" s="786">
        <v>13.576000000000001</v>
      </c>
      <c r="K16" s="331">
        <f t="shared" si="1"/>
        <v>6.4791734376797149E-3</v>
      </c>
      <c r="L16" s="785">
        <v>2125.7620000000002</v>
      </c>
      <c r="M16" s="784">
        <f>L16/L$28</f>
        <v>2.4479707102404186E-2</v>
      </c>
      <c r="N16" s="786">
        <v>15.444000000000001</v>
      </c>
      <c r="O16" s="331">
        <f t="shared" si="2"/>
        <v>7.2651595051562686E-3</v>
      </c>
      <c r="P16" s="785">
        <v>2070.6990000000001</v>
      </c>
      <c r="Q16" s="784">
        <f>P16/P$28</f>
        <v>2.3795854977713856E-2</v>
      </c>
      <c r="R16" s="786">
        <v>17.364000000000001</v>
      </c>
      <c r="S16" s="331">
        <f t="shared" si="3"/>
        <v>8.3855741467011857E-3</v>
      </c>
      <c r="T16" s="1092">
        <v>2044.058</v>
      </c>
      <c r="U16" s="1093">
        <f>T16/T$28</f>
        <v>2.4302192277317718E-2</v>
      </c>
      <c r="V16" s="1094">
        <v>16.622</v>
      </c>
      <c r="W16" s="1095">
        <f t="shared" si="4"/>
        <v>8.131863185878288E-3</v>
      </c>
      <c r="X16" s="1179">
        <v>2031.796</v>
      </c>
      <c r="Y16" s="995">
        <f>X16/X$28</f>
        <v>2.3735406910287964E-2</v>
      </c>
      <c r="Z16" s="999">
        <v>16.84</v>
      </c>
      <c r="AA16" s="1002">
        <f t="shared" si="5"/>
        <v>8.2882336612533931E-3</v>
      </c>
      <c r="AB16" s="331" t="e">
        <f>+#REF!/#REF!</f>
        <v>#REF!</v>
      </c>
      <c r="AD16" s="187"/>
      <c r="AE16" s="187"/>
      <c r="AF16" s="187"/>
      <c r="AG16" s="187"/>
    </row>
    <row r="17" spans="1:33" ht="20.25" customHeight="1">
      <c r="A17" s="174"/>
      <c r="B17" s="109"/>
      <c r="C17" s="730" t="s">
        <v>217</v>
      </c>
      <c r="D17" s="785">
        <v>2040.4469999999999</v>
      </c>
      <c r="E17" s="784">
        <f t="shared" ref="E17:E28" si="6">D17/D$28</f>
        <v>2.3561138296389034E-2</v>
      </c>
      <c r="F17" s="786">
        <v>108.648</v>
      </c>
      <c r="G17" s="331">
        <f t="shared" si="0"/>
        <v>5.3247156137846266E-2</v>
      </c>
      <c r="H17" s="785">
        <v>1973.6959999999999</v>
      </c>
      <c r="I17" s="784">
        <f t="shared" ref="I17:I28" si="7">H17/H$28</f>
        <v>2.251245045286138E-2</v>
      </c>
      <c r="J17" s="786">
        <v>108.479</v>
      </c>
      <c r="K17" s="331">
        <f t="shared" si="1"/>
        <v>5.4962365024806253E-2</v>
      </c>
      <c r="L17" s="785">
        <v>1523.893</v>
      </c>
      <c r="M17" s="784">
        <f t="shared" ref="M17:M28" si="8">L17/L$28</f>
        <v>1.7548744542147249E-2</v>
      </c>
      <c r="N17" s="786">
        <v>0.46200000000000002</v>
      </c>
      <c r="O17" s="331">
        <f t="shared" si="2"/>
        <v>3.0317089191957705E-4</v>
      </c>
      <c r="P17" s="785">
        <v>1522.1289999999999</v>
      </c>
      <c r="Q17" s="784">
        <f t="shared" ref="Q17:Q28" si="9">P17/P$28</f>
        <v>1.7491852239930869E-2</v>
      </c>
      <c r="R17" s="786">
        <v>0.58899999999999997</v>
      </c>
      <c r="S17" s="331">
        <f t="shared" si="3"/>
        <v>3.8695800421646259E-4</v>
      </c>
      <c r="T17" s="1092">
        <v>1546.6179999999999</v>
      </c>
      <c r="U17" s="1093">
        <f t="shared" ref="U17:U28" si="10">T17/T$28</f>
        <v>1.838803400664784E-2</v>
      </c>
      <c r="V17" s="1094">
        <v>0.55300000000000005</v>
      </c>
      <c r="W17" s="1095">
        <f t="shared" si="4"/>
        <v>3.5755435408096897E-4</v>
      </c>
      <c r="X17" s="1179">
        <v>1400.327</v>
      </c>
      <c r="Y17" s="995">
        <f t="shared" ref="Y17:Y28" si="11">X17/X$28</f>
        <v>1.6358596607367479E-2</v>
      </c>
      <c r="Z17" s="999">
        <v>0.58899999999999997</v>
      </c>
      <c r="AA17" s="1002">
        <f t="shared" si="5"/>
        <v>4.2061604182451668E-4</v>
      </c>
      <c r="AB17" s="331" t="e">
        <f>+#REF!/#REF!</f>
        <v>#REF!</v>
      </c>
      <c r="AD17" s="187"/>
      <c r="AE17" s="187"/>
      <c r="AF17" s="187"/>
      <c r="AG17" s="187"/>
    </row>
    <row r="18" spans="1:33" ht="20.25" customHeight="1">
      <c r="A18" s="174"/>
      <c r="B18" s="109"/>
      <c r="C18" s="730" t="s">
        <v>218</v>
      </c>
      <c r="D18" s="785">
        <v>22656.052</v>
      </c>
      <c r="E18" s="784">
        <f t="shared" si="6"/>
        <v>0.26161050712034245</v>
      </c>
      <c r="F18" s="786">
        <v>364.23099999999999</v>
      </c>
      <c r="G18" s="331">
        <f t="shared" si="0"/>
        <v>1.607654325652148E-2</v>
      </c>
      <c r="H18" s="785">
        <v>23195.248</v>
      </c>
      <c r="I18" s="784">
        <f t="shared" si="7"/>
        <v>0.26457056777833671</v>
      </c>
      <c r="J18" s="786">
        <v>364.43900000000002</v>
      </c>
      <c r="K18" s="331">
        <f t="shared" si="1"/>
        <v>1.5711795795414648E-2</v>
      </c>
      <c r="L18" s="785">
        <v>23565.673999999999</v>
      </c>
      <c r="M18" s="784">
        <f t="shared" si="8"/>
        <v>0.27137600408264972</v>
      </c>
      <c r="N18" s="786">
        <v>82.623000000000005</v>
      </c>
      <c r="O18" s="331">
        <f t="shared" si="2"/>
        <v>3.5060741313827906E-3</v>
      </c>
      <c r="P18" s="785">
        <v>24231.401000000002</v>
      </c>
      <c r="Q18" s="784">
        <f t="shared" si="9"/>
        <v>0.27846002924752972</v>
      </c>
      <c r="R18" s="786">
        <v>151.161</v>
      </c>
      <c r="S18" s="331">
        <f t="shared" si="3"/>
        <v>6.2382278267773287E-3</v>
      </c>
      <c r="T18" s="1092">
        <v>24386.616000000002</v>
      </c>
      <c r="U18" s="1093">
        <f t="shared" si="10"/>
        <v>0.28993709132769852</v>
      </c>
      <c r="V18" s="1094">
        <v>72.927999999999997</v>
      </c>
      <c r="W18" s="1095">
        <f t="shared" si="4"/>
        <v>2.9904928178636999E-3</v>
      </c>
      <c r="X18" s="1179">
        <v>24852.166000000001</v>
      </c>
      <c r="Y18" s="995">
        <f t="shared" si="11"/>
        <v>0.29032258780508652</v>
      </c>
      <c r="Z18" s="999">
        <v>70.540000000000006</v>
      </c>
      <c r="AA18" s="1002">
        <f t="shared" si="5"/>
        <v>2.8383843887088154E-3</v>
      </c>
      <c r="AB18" s="331" t="e">
        <f>+#REF!/#REF!</f>
        <v>#REF!</v>
      </c>
      <c r="AD18" s="187"/>
      <c r="AE18" s="187"/>
      <c r="AF18" s="187"/>
      <c r="AG18" s="187"/>
    </row>
    <row r="19" spans="1:33" ht="20.25" customHeight="1">
      <c r="A19" s="174"/>
      <c r="B19" s="109"/>
      <c r="C19" s="730" t="s">
        <v>219</v>
      </c>
      <c r="D19" s="785">
        <v>2321.3629999999998</v>
      </c>
      <c r="E19" s="784">
        <f t="shared" si="6"/>
        <v>2.6804888673472301E-2</v>
      </c>
      <c r="F19" s="786">
        <v>13.907999999999999</v>
      </c>
      <c r="G19" s="331">
        <f t="shared" si="0"/>
        <v>5.9913076929372965E-3</v>
      </c>
      <c r="H19" s="785">
        <v>2188.2130000000002</v>
      </c>
      <c r="I19" s="784">
        <f t="shared" si="7"/>
        <v>2.4959282859572683E-2</v>
      </c>
      <c r="J19" s="786">
        <v>13.305</v>
      </c>
      <c r="K19" s="331">
        <f t="shared" si="1"/>
        <v>6.0803038826659009E-3</v>
      </c>
      <c r="L19" s="785">
        <v>2374.203</v>
      </c>
      <c r="M19" s="784">
        <f t="shared" si="8"/>
        <v>2.7340687264919273E-2</v>
      </c>
      <c r="N19" s="786">
        <v>11.003</v>
      </c>
      <c r="O19" s="331">
        <f t="shared" si="2"/>
        <v>4.6343973114346161E-3</v>
      </c>
      <c r="P19" s="785">
        <v>2452.54</v>
      </c>
      <c r="Q19" s="784">
        <f t="shared" si="9"/>
        <v>2.8183857802144271E-2</v>
      </c>
      <c r="R19" s="786">
        <v>5.3780000000000001</v>
      </c>
      <c r="S19" s="331">
        <f t="shared" si="3"/>
        <v>2.1928286592675351E-3</v>
      </c>
      <c r="T19" s="1092">
        <v>2123.8890000000001</v>
      </c>
      <c r="U19" s="1093">
        <f t="shared" si="10"/>
        <v>2.525131813954401E-2</v>
      </c>
      <c r="V19" s="1094">
        <v>5.0419999999999998</v>
      </c>
      <c r="W19" s="1095">
        <f t="shared" si="4"/>
        <v>2.3739470377218395E-3</v>
      </c>
      <c r="X19" s="1179">
        <v>2441.4389999999999</v>
      </c>
      <c r="Y19" s="995">
        <f t="shared" si="11"/>
        <v>2.8520849589056447E-2</v>
      </c>
      <c r="Z19" s="999">
        <v>5.601</v>
      </c>
      <c r="AA19" s="1002">
        <f t="shared" si="5"/>
        <v>2.2941388255041393E-3</v>
      </c>
      <c r="AB19" s="331" t="e">
        <f>+#REF!/#REF!</f>
        <v>#REF!</v>
      </c>
      <c r="AD19" s="187"/>
      <c r="AE19" s="187"/>
      <c r="AF19" s="187"/>
      <c r="AG19" s="187"/>
    </row>
    <row r="20" spans="1:33" ht="20.25" customHeight="1">
      <c r="A20" s="174"/>
      <c r="B20" s="109"/>
      <c r="C20" s="730" t="s">
        <v>220</v>
      </c>
      <c r="D20" s="785">
        <v>526.553</v>
      </c>
      <c r="E20" s="784">
        <f t="shared" si="6"/>
        <v>6.0801324677281672E-3</v>
      </c>
      <c r="F20" s="786">
        <v>4.6550000000000002</v>
      </c>
      <c r="G20" s="331">
        <f t="shared" si="0"/>
        <v>8.8405155796282622E-3</v>
      </c>
      <c r="H20" s="785">
        <v>546.97799999999995</v>
      </c>
      <c r="I20" s="784">
        <f t="shared" si="7"/>
        <v>6.2389623953259324E-3</v>
      </c>
      <c r="J20" s="786">
        <v>5.6559999999999997</v>
      </c>
      <c r="K20" s="331">
        <f t="shared" si="1"/>
        <v>1.0340452449641485E-2</v>
      </c>
      <c r="L20" s="785">
        <v>537.63499999999999</v>
      </c>
      <c r="M20" s="784">
        <f t="shared" si="8"/>
        <v>6.1912609821800722E-3</v>
      </c>
      <c r="N20" s="786">
        <v>3.4769999999999999</v>
      </c>
      <c r="O20" s="331">
        <f t="shared" si="2"/>
        <v>6.4672128860658248E-3</v>
      </c>
      <c r="P20" s="785">
        <v>552.37599999999998</v>
      </c>
      <c r="Q20" s="784">
        <f t="shared" si="9"/>
        <v>6.3477401540106351E-3</v>
      </c>
      <c r="R20" s="786">
        <v>3.2010000000000001</v>
      </c>
      <c r="S20" s="331">
        <f t="shared" si="3"/>
        <v>5.7949657479687755E-3</v>
      </c>
      <c r="T20" s="1092">
        <v>575.68399999999997</v>
      </c>
      <c r="U20" s="1093">
        <f t="shared" si="10"/>
        <v>6.8444159896516501E-3</v>
      </c>
      <c r="V20" s="1094">
        <v>2.4279999999999999</v>
      </c>
      <c r="W20" s="1095">
        <f t="shared" si="4"/>
        <v>4.217591595389137E-3</v>
      </c>
      <c r="X20" s="1179">
        <v>593.55100000000004</v>
      </c>
      <c r="Y20" s="995">
        <f t="shared" si="11"/>
        <v>6.9338528607243693E-3</v>
      </c>
      <c r="Z20" s="999">
        <v>3.0259999999999998</v>
      </c>
      <c r="AA20" s="1002">
        <f t="shared" si="5"/>
        <v>5.0981297310593353E-3</v>
      </c>
      <c r="AB20" s="331" t="e">
        <f>+#REF!/#REF!</f>
        <v>#REF!</v>
      </c>
      <c r="AD20" s="187"/>
      <c r="AE20" s="187"/>
      <c r="AF20" s="187"/>
      <c r="AG20" s="187"/>
    </row>
    <row r="21" spans="1:33" ht="20.25" customHeight="1">
      <c r="A21" s="174"/>
      <c r="B21" s="109"/>
      <c r="C21" s="730" t="s">
        <v>221</v>
      </c>
      <c r="D21" s="785">
        <v>0.11600000000000001</v>
      </c>
      <c r="E21" s="784">
        <f t="shared" si="6"/>
        <v>1.3394575023909604E-6</v>
      </c>
      <c r="F21" s="786">
        <v>0</v>
      </c>
      <c r="G21" s="331">
        <f t="shared" si="0"/>
        <v>0</v>
      </c>
      <c r="H21" s="785">
        <v>0.112</v>
      </c>
      <c r="I21" s="784">
        <f t="shared" si="7"/>
        <v>1.2774988907716663E-6</v>
      </c>
      <c r="J21" s="786">
        <v>0</v>
      </c>
      <c r="K21" s="331">
        <f t="shared" si="1"/>
        <v>0</v>
      </c>
      <c r="L21" s="785">
        <v>0.11899999999999999</v>
      </c>
      <c r="M21" s="784">
        <f t="shared" si="8"/>
        <v>1.3703721983863188E-6</v>
      </c>
      <c r="N21" s="786">
        <v>0</v>
      </c>
      <c r="O21" s="331">
        <f t="shared" si="2"/>
        <v>0</v>
      </c>
      <c r="P21" s="785">
        <v>0.105</v>
      </c>
      <c r="Q21" s="784">
        <f t="shared" si="9"/>
        <v>1.2066286662909262E-6</v>
      </c>
      <c r="R21" s="786">
        <v>0</v>
      </c>
      <c r="S21" s="331">
        <f t="shared" si="3"/>
        <v>0</v>
      </c>
      <c r="T21" s="1092">
        <v>0.12</v>
      </c>
      <c r="U21" s="1093">
        <f t="shared" si="10"/>
        <v>1.4267027027991016E-6</v>
      </c>
      <c r="V21" s="1094">
        <v>0</v>
      </c>
      <c r="W21" s="1095">
        <f t="shared" si="4"/>
        <v>0</v>
      </c>
      <c r="X21" s="1179">
        <v>0.14000000000000001</v>
      </c>
      <c r="Y21" s="995">
        <f t="shared" si="11"/>
        <v>1.6354776598833323E-6</v>
      </c>
      <c r="Z21" s="999">
        <v>0</v>
      </c>
      <c r="AA21" s="1002">
        <f t="shared" si="5"/>
        <v>0</v>
      </c>
      <c r="AB21" s="331" t="e">
        <f>+#REF!/#REF!</f>
        <v>#REF!</v>
      </c>
      <c r="AD21" s="196"/>
      <c r="AE21" s="196"/>
      <c r="AF21" s="196"/>
      <c r="AG21" s="196"/>
    </row>
    <row r="22" spans="1:33" ht="20.25" customHeight="1">
      <c r="A22" s="174"/>
      <c r="B22" s="109"/>
      <c r="C22" s="730" t="s">
        <v>222</v>
      </c>
      <c r="D22" s="785">
        <v>476.95699999999999</v>
      </c>
      <c r="E22" s="784">
        <f t="shared" si="6"/>
        <v>5.5074451031714251E-3</v>
      </c>
      <c r="F22" s="786">
        <v>2.101</v>
      </c>
      <c r="G22" s="331">
        <f t="shared" si="0"/>
        <v>4.4050092565996518E-3</v>
      </c>
      <c r="H22" s="785">
        <v>476.09399999999999</v>
      </c>
      <c r="I22" s="784">
        <f t="shared" si="7"/>
        <v>5.4304424723486226E-3</v>
      </c>
      <c r="J22" s="786">
        <v>1.7170000000000001</v>
      </c>
      <c r="K22" s="331">
        <f t="shared" si="1"/>
        <v>3.6064306628522942E-3</v>
      </c>
      <c r="L22" s="785">
        <v>487.41399999999999</v>
      </c>
      <c r="M22" s="784">
        <f t="shared" si="8"/>
        <v>5.6129293672627662E-3</v>
      </c>
      <c r="N22" s="786">
        <v>2.0230000000000001</v>
      </c>
      <c r="O22" s="331">
        <f t="shared" si="2"/>
        <v>4.1504757762395013E-3</v>
      </c>
      <c r="P22" s="785">
        <v>501.69400000000002</v>
      </c>
      <c r="Q22" s="784">
        <f t="shared" si="9"/>
        <v>5.7653177343443811E-3</v>
      </c>
      <c r="R22" s="786">
        <v>1.1679999999999999</v>
      </c>
      <c r="S22" s="331">
        <f t="shared" si="3"/>
        <v>2.3281123553401074E-3</v>
      </c>
      <c r="T22" s="1092">
        <v>519.83900000000006</v>
      </c>
      <c r="U22" s="1093">
        <f t="shared" si="10"/>
        <v>6.1804642193365187E-3</v>
      </c>
      <c r="V22" s="1094">
        <v>1.1830000000000001</v>
      </c>
      <c r="W22" s="1095">
        <f t="shared" si="4"/>
        <v>2.27570459315288E-3</v>
      </c>
      <c r="X22" s="1179">
        <v>540.40800000000002</v>
      </c>
      <c r="Y22" s="995">
        <f>X22/X$28</f>
        <v>6.3130372230159413E-3</v>
      </c>
      <c r="Z22" s="999">
        <v>1.8580000000000001</v>
      </c>
      <c r="AA22" s="1002">
        <f t="shared" si="5"/>
        <v>3.4381430326716114E-3</v>
      </c>
      <c r="AB22" s="331" t="e">
        <f>+#REF!/#REF!</f>
        <v>#REF!</v>
      </c>
      <c r="AD22" s="196"/>
      <c r="AE22" s="196"/>
      <c r="AF22" s="196"/>
      <c r="AG22" s="196"/>
    </row>
    <row r="23" spans="1:33" ht="20.25" customHeight="1">
      <c r="A23" s="174"/>
      <c r="B23" s="109"/>
      <c r="C23" s="730" t="s">
        <v>223</v>
      </c>
      <c r="D23" s="785">
        <v>1127.2660000000001</v>
      </c>
      <c r="E23" s="784">
        <f t="shared" si="6"/>
        <v>1.3016593973191798E-2</v>
      </c>
      <c r="F23" s="786">
        <v>2.851</v>
      </c>
      <c r="G23" s="331">
        <f t="shared" si="0"/>
        <v>2.5291279964090108E-3</v>
      </c>
      <c r="H23" s="785">
        <v>1127.0650000000001</v>
      </c>
      <c r="I23" s="784">
        <f t="shared" si="7"/>
        <v>1.2855573993996144E-2</v>
      </c>
      <c r="J23" s="786">
        <v>1.724</v>
      </c>
      <c r="K23" s="331">
        <f t="shared" si="1"/>
        <v>1.5296367112810707E-3</v>
      </c>
      <c r="L23" s="785">
        <v>1161.4929999999999</v>
      </c>
      <c r="M23" s="784">
        <f t="shared" si="8"/>
        <v>1.3375442990086727E-2</v>
      </c>
      <c r="N23" s="786">
        <v>1.204</v>
      </c>
      <c r="O23" s="331">
        <f t="shared" si="2"/>
        <v>1.0365968628308565E-3</v>
      </c>
      <c r="P23" s="785">
        <v>1160.402</v>
      </c>
      <c r="Q23" s="784">
        <f t="shared" si="9"/>
        <v>1.3334993501155462E-2</v>
      </c>
      <c r="R23" s="786">
        <v>3.375</v>
      </c>
      <c r="S23" s="331">
        <f t="shared" si="3"/>
        <v>2.9084748216566328E-3</v>
      </c>
      <c r="T23" s="1092">
        <v>1191.4670000000001</v>
      </c>
      <c r="U23" s="1093">
        <f t="shared" si="10"/>
        <v>1.4165576576632812E-2</v>
      </c>
      <c r="V23" s="1094">
        <v>3.9769999999999999</v>
      </c>
      <c r="W23" s="1095">
        <f t="shared" si="4"/>
        <v>3.337901930980883E-3</v>
      </c>
      <c r="X23" s="1179">
        <v>1237.644</v>
      </c>
      <c r="Y23" s="995">
        <f t="shared" si="11"/>
        <v>1.4458136520633191E-2</v>
      </c>
      <c r="Z23" s="999">
        <v>2.379</v>
      </c>
      <c r="AA23" s="1002">
        <f t="shared" si="5"/>
        <v>1.9222005681763092E-3</v>
      </c>
      <c r="AB23" s="331" t="e">
        <f>+#REF!/#REF!</f>
        <v>#REF!</v>
      </c>
      <c r="AD23" s="187"/>
      <c r="AE23" s="187"/>
      <c r="AF23" s="187"/>
      <c r="AG23" s="187"/>
    </row>
    <row r="24" spans="1:33" ht="20.25" customHeight="1">
      <c r="A24" s="174"/>
      <c r="B24" s="109"/>
      <c r="C24" s="730" t="s">
        <v>224</v>
      </c>
      <c r="D24" s="785">
        <v>1485.6669999999999</v>
      </c>
      <c r="E24" s="784">
        <f t="shared" si="6"/>
        <v>1.7155067320729921E-2</v>
      </c>
      <c r="F24" s="786">
        <v>11.545999999999999</v>
      </c>
      <c r="G24" s="331">
        <f t="shared" si="0"/>
        <v>7.7715934997546554E-3</v>
      </c>
      <c r="H24" s="785">
        <v>1539</v>
      </c>
      <c r="I24" s="784">
        <f t="shared" si="7"/>
        <v>1.7554203508014236E-2</v>
      </c>
      <c r="J24" s="786">
        <v>11.866</v>
      </c>
      <c r="K24" s="331">
        <f t="shared" si="1"/>
        <v>7.7102014294996753E-3</v>
      </c>
      <c r="L24" s="785">
        <v>1593.511</v>
      </c>
      <c r="M24" s="784">
        <f t="shared" si="8"/>
        <v>1.8350446825401524E-2</v>
      </c>
      <c r="N24" s="786">
        <v>28.795000000000002</v>
      </c>
      <c r="O24" s="331">
        <f t="shared" si="2"/>
        <v>1.8070160795877782E-2</v>
      </c>
      <c r="P24" s="785">
        <v>1578.7270000000001</v>
      </c>
      <c r="Q24" s="784">
        <f t="shared" si="9"/>
        <v>1.8142259566166431E-2</v>
      </c>
      <c r="R24" s="786">
        <v>29.79</v>
      </c>
      <c r="S24" s="331">
        <f t="shared" si="3"/>
        <v>1.8869633571858845E-2</v>
      </c>
      <c r="T24" s="1092">
        <v>1577.8140000000001</v>
      </c>
      <c r="U24" s="1093">
        <f t="shared" si="10"/>
        <v>1.8758929152618849E-2</v>
      </c>
      <c r="V24" s="1094">
        <v>15.79</v>
      </c>
      <c r="W24" s="1095">
        <f t="shared" si="4"/>
        <v>1.0007516728841294E-2</v>
      </c>
      <c r="X24" s="1179">
        <v>1581.1669999999999</v>
      </c>
      <c r="Y24" s="995">
        <f t="shared" si="11"/>
        <v>1.8471166464605348E-2</v>
      </c>
      <c r="Z24" s="999">
        <v>14.737</v>
      </c>
      <c r="AA24" s="1002">
        <f t="shared" si="5"/>
        <v>9.3203311225190013E-3</v>
      </c>
      <c r="AB24" s="331" t="e">
        <f>+#REF!/#REF!</f>
        <v>#REF!</v>
      </c>
      <c r="AD24" s="187"/>
      <c r="AE24" s="187"/>
      <c r="AF24" s="187"/>
      <c r="AG24" s="187"/>
    </row>
    <row r="25" spans="1:33" ht="20.25" customHeight="1">
      <c r="A25" s="169"/>
      <c r="B25" s="109"/>
      <c r="C25" s="730" t="s">
        <v>225</v>
      </c>
      <c r="D25" s="785">
        <v>1046.5250000000001</v>
      </c>
      <c r="E25" s="784">
        <f t="shared" si="6"/>
        <v>1.2084273816290517E-2</v>
      </c>
      <c r="F25" s="786">
        <v>4.2720000000000002</v>
      </c>
      <c r="G25" s="331">
        <f t="shared" si="0"/>
        <v>4.0820811734072282E-3</v>
      </c>
      <c r="H25" s="785">
        <v>1096.3320000000001</v>
      </c>
      <c r="I25" s="784">
        <f t="shared" si="7"/>
        <v>1.250502601712038E-2</v>
      </c>
      <c r="J25" s="786">
        <v>3.8530000000000002</v>
      </c>
      <c r="K25" s="331">
        <f t="shared" si="1"/>
        <v>3.5144463538417194E-3</v>
      </c>
      <c r="L25" s="785">
        <v>1093.172</v>
      </c>
      <c r="M25" s="784">
        <f t="shared" si="8"/>
        <v>1.2588676612221588E-2</v>
      </c>
      <c r="N25" s="786">
        <v>5.2729999999999997</v>
      </c>
      <c r="O25" s="331">
        <f t="shared" si="2"/>
        <v>4.8235776254788813E-3</v>
      </c>
      <c r="P25" s="785">
        <v>1104.51</v>
      </c>
      <c r="Q25" s="784">
        <f t="shared" si="9"/>
        <v>1.269269931623801E-2</v>
      </c>
      <c r="R25" s="786">
        <v>6.9050000000000002</v>
      </c>
      <c r="S25" s="331">
        <f t="shared" si="3"/>
        <v>6.2516409991761057E-3</v>
      </c>
      <c r="T25" s="1092">
        <v>1174.5</v>
      </c>
      <c r="U25" s="1093">
        <f t="shared" si="10"/>
        <v>1.3963852703646208E-2</v>
      </c>
      <c r="V25" s="1094">
        <v>7.4139999999999997</v>
      </c>
      <c r="W25" s="1095">
        <f t="shared" si="4"/>
        <v>6.3124733929331624E-3</v>
      </c>
      <c r="X25" s="1179">
        <v>1205.8920000000001</v>
      </c>
      <c r="Y25" s="995">
        <f t="shared" si="11"/>
        <v>1.4087210187371652E-2</v>
      </c>
      <c r="Z25" s="999">
        <v>5.8029999999999999</v>
      </c>
      <c r="AA25" s="1002">
        <f t="shared" si="5"/>
        <v>4.8122054047957854E-3</v>
      </c>
      <c r="AB25" s="331" t="e">
        <f>+#REF!/#REF!</f>
        <v>#REF!</v>
      </c>
      <c r="AD25" s="187"/>
      <c r="AE25" s="187"/>
      <c r="AF25" s="187"/>
      <c r="AG25" s="187"/>
    </row>
    <row r="26" spans="1:33" ht="20.25" customHeight="1">
      <c r="A26" s="174"/>
      <c r="B26" s="109"/>
      <c r="C26" s="730" t="s">
        <v>226</v>
      </c>
      <c r="D26" s="785">
        <v>2.4E-2</v>
      </c>
      <c r="E26" s="784">
        <f t="shared" si="6"/>
        <v>2.7712913842571594E-7</v>
      </c>
      <c r="F26" s="786">
        <v>0</v>
      </c>
      <c r="G26" s="331">
        <f t="shared" si="0"/>
        <v>0</v>
      </c>
      <c r="H26" s="785">
        <v>2.1000000000000001E-2</v>
      </c>
      <c r="I26" s="784">
        <f t="shared" si="7"/>
        <v>2.3953104201968748E-7</v>
      </c>
      <c r="J26" s="786">
        <v>0</v>
      </c>
      <c r="K26" s="331">
        <f t="shared" si="1"/>
        <v>0</v>
      </c>
      <c r="L26" s="785">
        <v>1.9E-2</v>
      </c>
      <c r="M26" s="784">
        <f t="shared" si="8"/>
        <v>2.1879892243142907E-7</v>
      </c>
      <c r="N26" s="786">
        <v>0</v>
      </c>
      <c r="O26" s="331">
        <f t="shared" si="2"/>
        <v>0</v>
      </c>
      <c r="P26" s="785">
        <v>0.04</v>
      </c>
      <c r="Q26" s="784">
        <f t="shared" si="9"/>
        <v>4.5966806334892432E-7</v>
      </c>
      <c r="R26" s="786">
        <v>0</v>
      </c>
      <c r="S26" s="331">
        <f t="shared" si="3"/>
        <v>0</v>
      </c>
      <c r="T26" s="1092">
        <v>0</v>
      </c>
      <c r="U26" s="1093">
        <f t="shared" si="10"/>
        <v>0</v>
      </c>
      <c r="V26" s="1094">
        <v>0</v>
      </c>
      <c r="W26" s="1095" t="s">
        <v>2</v>
      </c>
      <c r="X26" s="1179">
        <v>0</v>
      </c>
      <c r="Y26" s="995">
        <f t="shared" si="11"/>
        <v>0</v>
      </c>
      <c r="Z26" s="999">
        <v>0</v>
      </c>
      <c r="AA26" s="1002" t="s">
        <v>2</v>
      </c>
      <c r="AB26" s="331" t="e">
        <f>+#REF!/#REF!</f>
        <v>#REF!</v>
      </c>
      <c r="AD26" s="187"/>
      <c r="AE26" s="187"/>
      <c r="AF26" s="187"/>
      <c r="AG26" s="187"/>
    </row>
    <row r="27" spans="1:33" ht="20.25" customHeight="1">
      <c r="A27" s="174"/>
      <c r="B27" s="109"/>
      <c r="C27" s="730" t="s">
        <v>227</v>
      </c>
      <c r="D27" s="785">
        <v>0</v>
      </c>
      <c r="E27" s="784">
        <f t="shared" si="6"/>
        <v>0</v>
      </c>
      <c r="F27" s="786">
        <v>0</v>
      </c>
      <c r="G27" s="331" t="s">
        <v>2</v>
      </c>
      <c r="H27" s="785">
        <v>0</v>
      </c>
      <c r="I27" s="784">
        <f t="shared" si="7"/>
        <v>0</v>
      </c>
      <c r="J27" s="786">
        <v>0</v>
      </c>
      <c r="K27" s="331" t="s">
        <v>2</v>
      </c>
      <c r="L27" s="785">
        <v>0</v>
      </c>
      <c r="M27" s="784">
        <f t="shared" si="8"/>
        <v>0</v>
      </c>
      <c r="N27" s="786">
        <v>0</v>
      </c>
      <c r="O27" s="331" t="s">
        <v>2</v>
      </c>
      <c r="P27" s="785">
        <v>0</v>
      </c>
      <c r="Q27" s="784">
        <f t="shared" si="9"/>
        <v>0</v>
      </c>
      <c r="R27" s="786">
        <v>0</v>
      </c>
      <c r="S27" s="331" t="s">
        <v>2</v>
      </c>
      <c r="T27" s="1092">
        <v>0</v>
      </c>
      <c r="U27" s="1093">
        <f t="shared" si="10"/>
        <v>0</v>
      </c>
      <c r="V27" s="1094">
        <v>0</v>
      </c>
      <c r="W27" s="1095" t="s">
        <v>2</v>
      </c>
      <c r="X27" s="1179">
        <v>0</v>
      </c>
      <c r="Y27" s="995">
        <f t="shared" si="11"/>
        <v>0</v>
      </c>
      <c r="Z27" s="999">
        <v>0</v>
      </c>
      <c r="AA27" s="1002" t="s">
        <v>2</v>
      </c>
      <c r="AB27" s="331"/>
      <c r="AD27" s="187"/>
      <c r="AE27" s="187"/>
      <c r="AF27" s="187"/>
      <c r="AG27" s="187"/>
    </row>
    <row r="28" spans="1:33" ht="20.25" customHeight="1" thickBot="1">
      <c r="A28" s="174"/>
      <c r="B28" s="109"/>
      <c r="C28" s="732" t="s">
        <v>187</v>
      </c>
      <c r="D28" s="789">
        <v>86602.225000000006</v>
      </c>
      <c r="E28" s="787">
        <f t="shared" si="6"/>
        <v>1</v>
      </c>
      <c r="F28" s="838">
        <v>1205.2829999999999</v>
      </c>
      <c r="G28" s="788">
        <f>+F28/D28</f>
        <v>1.3917459972881758E-2</v>
      </c>
      <c r="H28" s="789">
        <v>87671.308999999994</v>
      </c>
      <c r="I28" s="787">
        <f t="shared" si="7"/>
        <v>1</v>
      </c>
      <c r="J28" s="838">
        <v>1000.925</v>
      </c>
      <c r="K28" s="788">
        <f>+J28/H28</f>
        <v>1.1416790868264554E-2</v>
      </c>
      <c r="L28" s="789">
        <v>86837.721999999994</v>
      </c>
      <c r="M28" s="787">
        <f t="shared" si="8"/>
        <v>1</v>
      </c>
      <c r="N28" s="838">
        <v>723.68700000000001</v>
      </c>
      <c r="O28" s="788">
        <f>+N28/L28</f>
        <v>8.3337860935596628E-3</v>
      </c>
      <c r="P28" s="789">
        <v>87019.315000000002</v>
      </c>
      <c r="Q28" s="787">
        <f t="shared" si="9"/>
        <v>1</v>
      </c>
      <c r="R28" s="838">
        <v>710.41</v>
      </c>
      <c r="S28" s="788">
        <f>+R28/P28</f>
        <v>8.1638197220927321E-3</v>
      </c>
      <c r="T28" s="1096">
        <f>SUM(T7:T27)</f>
        <v>84110.024999999994</v>
      </c>
      <c r="U28" s="1097">
        <f t="shared" si="10"/>
        <v>1</v>
      </c>
      <c r="V28" s="1098">
        <v>515.28</v>
      </c>
      <c r="W28" s="1099">
        <f>+V28/T28</f>
        <v>6.1262614058193417E-3</v>
      </c>
      <c r="X28" s="993">
        <f>SUM(X7:X27)</f>
        <v>85601.903000000006</v>
      </c>
      <c r="Y28" s="996">
        <f t="shared" si="11"/>
        <v>1</v>
      </c>
      <c r="Z28" s="1000">
        <f>SUM(Z7:Z27)</f>
        <v>548.37699999999984</v>
      </c>
      <c r="AA28" s="1003">
        <f>+Z28/X28</f>
        <v>6.4061309478131555E-3</v>
      </c>
      <c r="AB28" s="332" t="e">
        <f>+#REF!/#REF!</f>
        <v>#REF!</v>
      </c>
      <c r="AD28" s="333"/>
      <c r="AE28" s="333"/>
      <c r="AF28" s="333"/>
      <c r="AG28" s="333"/>
    </row>
    <row r="29" spans="1:33" ht="15" customHeight="1">
      <c r="A29" s="174"/>
      <c r="B29" s="109"/>
      <c r="C29" s="300"/>
      <c r="Y29" s="997"/>
      <c r="AB29" s="290"/>
    </row>
    <row r="30" spans="1:33">
      <c r="A30" s="174"/>
      <c r="B30" s="109"/>
      <c r="C30" s="504" t="s">
        <v>386</v>
      </c>
      <c r="AB30" s="290"/>
    </row>
    <row r="31" spans="1:33">
      <c r="A31" s="174"/>
      <c r="B31" s="109"/>
      <c r="C31" s="504" t="s">
        <v>387</v>
      </c>
      <c r="AB31" s="290"/>
    </row>
    <row r="32" spans="1:33">
      <c r="A32" s="109"/>
      <c r="B32" s="109"/>
      <c r="C32" s="287"/>
      <c r="AB32" s="290"/>
    </row>
    <row r="33" spans="1:28">
      <c r="A33" s="109"/>
      <c r="B33" s="109"/>
      <c r="C33" s="287"/>
      <c r="AB33" s="291"/>
    </row>
    <row r="34" spans="1:28">
      <c r="C34" s="289"/>
      <c r="AB34" s="290"/>
    </row>
    <row r="35" spans="1:28">
      <c r="C35" s="289"/>
      <c r="AB35" s="288"/>
    </row>
  </sheetData>
  <mergeCells count="7">
    <mergeCell ref="C1:AB1"/>
    <mergeCell ref="X5:AA5"/>
    <mergeCell ref="D5:G5"/>
    <mergeCell ref="H5:K5"/>
    <mergeCell ref="L5:O5"/>
    <mergeCell ref="P5:S5"/>
    <mergeCell ref="T5:W5"/>
  </mergeCells>
  <phoneticPr fontId="2" type="noConversion"/>
  <pageMargins left="0" right="0" top="0.47244094488188981" bottom="0" header="0" footer="0"/>
  <pageSetup paperSize="9" scale="79" orientation="landscape" useFirstPageNumber="1" verticalDpi="0" r:id="rId1"/>
  <headerFooter>
    <oddHeader>&amp;R&amp;"Trebuchet MS,보통"&amp;12www.wooribank.com</oddHeader>
    <oddFooter>&amp;R&amp;"Trebuchet MS,보통"Page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7"/>
  <sheetViews>
    <sheetView showGridLines="0" view="pageBreakPreview" topLeftCell="B1" zoomScale="80" zoomScaleNormal="90" zoomScaleSheetLayoutView="80" workbookViewId="0">
      <selection activeCell="S37" sqref="S37"/>
    </sheetView>
  </sheetViews>
  <sheetFormatPr defaultRowHeight="11.25"/>
  <cols>
    <col min="1" max="1" width="17" style="122" customWidth="1"/>
    <col min="2" max="2" width="3.7109375" style="122" customWidth="1"/>
    <col min="3" max="3" width="19.140625" style="122" customWidth="1"/>
    <col min="4" max="4" width="12.5703125" style="122" customWidth="1"/>
    <col min="5" max="22" width="9.7109375" style="122" customWidth="1"/>
    <col min="23" max="23" width="1.85546875" style="122" customWidth="1"/>
    <col min="24" max="16384" width="9.140625" style="122"/>
  </cols>
  <sheetData>
    <row r="1" spans="1:60" s="119" customFormat="1" ht="33" customHeight="1">
      <c r="A1" s="826"/>
      <c r="B1" s="138"/>
      <c r="C1" s="1307" t="s">
        <v>477</v>
      </c>
      <c r="D1" s="1307"/>
      <c r="E1" s="1307"/>
      <c r="F1" s="1307"/>
      <c r="G1" s="1307"/>
      <c r="H1" s="1307"/>
      <c r="I1" s="1307"/>
      <c r="J1" s="1307"/>
      <c r="K1" s="1307"/>
      <c r="L1" s="1307"/>
      <c r="M1" s="1307"/>
      <c r="N1" s="1307"/>
      <c r="O1" s="1307"/>
      <c r="P1" s="1307"/>
      <c r="Q1" s="1307"/>
      <c r="R1" s="1307"/>
      <c r="S1" s="1307"/>
      <c r="T1" s="1307"/>
      <c r="U1" s="1307"/>
      <c r="V1" s="1307"/>
      <c r="W1" s="1307"/>
      <c r="X1" s="1307"/>
      <c r="Y1" s="1307"/>
      <c r="Z1" s="1307"/>
      <c r="AA1" s="1307"/>
      <c r="AB1" s="1307"/>
      <c r="AC1" s="1307"/>
      <c r="AD1" s="1307"/>
      <c r="AE1" s="1307"/>
      <c r="AF1" s="1307"/>
      <c r="AG1" s="1307"/>
      <c r="AH1" s="1307"/>
      <c r="AI1" s="1307"/>
      <c r="AJ1" s="1307"/>
      <c r="AK1" s="1307"/>
      <c r="AL1" s="1307"/>
      <c r="AM1" s="1307"/>
      <c r="AN1" s="1307"/>
      <c r="AO1" s="1307"/>
      <c r="AP1" s="1307"/>
      <c r="AQ1" s="1307"/>
      <c r="AR1" s="1307"/>
      <c r="AS1" s="1307"/>
      <c r="AT1" s="1307"/>
      <c r="AU1" s="1307"/>
      <c r="AV1" s="1307"/>
      <c r="AW1" s="1307"/>
      <c r="AX1" s="1307"/>
      <c r="AY1" s="1307"/>
      <c r="AZ1" s="1307"/>
      <c r="BA1" s="1307"/>
      <c r="BB1" s="1307"/>
      <c r="BC1" s="1307"/>
      <c r="BD1" s="1307"/>
      <c r="BE1" s="1307"/>
      <c r="BF1" s="1307"/>
      <c r="BG1" s="1307"/>
      <c r="BH1" s="1307"/>
    </row>
    <row r="2" spans="1:60" s="119" customFormat="1" ht="12" customHeight="1">
      <c r="A2" s="139"/>
      <c r="C2" s="140"/>
      <c r="F2" s="813"/>
      <c r="I2" s="813"/>
      <c r="L2" s="813"/>
      <c r="O2" s="813"/>
      <c r="R2" s="813"/>
      <c r="U2" s="813"/>
    </row>
    <row r="3" spans="1:60" ht="6.75" customHeight="1">
      <c r="A3" s="216"/>
      <c r="C3" s="136"/>
      <c r="D3" s="136"/>
    </row>
    <row r="4" spans="1:60" s="336" customFormat="1" ht="19.5" customHeight="1">
      <c r="A4" s="335"/>
      <c r="C4" s="157"/>
      <c r="D4" s="145"/>
      <c r="E4" s="1343" t="s">
        <v>481</v>
      </c>
      <c r="F4" s="1322"/>
      <c r="G4" s="1344"/>
      <c r="H4" s="1343" t="s">
        <v>483</v>
      </c>
      <c r="I4" s="1322"/>
      <c r="J4" s="1344"/>
      <c r="K4" s="1343" t="s">
        <v>498</v>
      </c>
      <c r="L4" s="1322"/>
      <c r="M4" s="1344"/>
      <c r="N4" s="1343" t="s">
        <v>504</v>
      </c>
      <c r="O4" s="1322"/>
      <c r="P4" s="1344"/>
      <c r="Q4" s="1343" t="s">
        <v>506</v>
      </c>
      <c r="R4" s="1322"/>
      <c r="S4" s="1344"/>
      <c r="T4" s="1343" t="s">
        <v>540</v>
      </c>
      <c r="U4" s="1322"/>
      <c r="V4" s="1322"/>
    </row>
    <row r="5" spans="1:60" s="336" customFormat="1" ht="19.5" customHeight="1" thickBot="1">
      <c r="A5" s="335"/>
      <c r="C5" s="157"/>
      <c r="D5" s="505" t="s">
        <v>231</v>
      </c>
      <c r="E5" s="736" t="s">
        <v>6</v>
      </c>
      <c r="F5" s="737" t="s">
        <v>243</v>
      </c>
      <c r="G5" s="737" t="s">
        <v>7</v>
      </c>
      <c r="H5" s="736" t="s">
        <v>6</v>
      </c>
      <c r="I5" s="737" t="s">
        <v>243</v>
      </c>
      <c r="J5" s="737" t="s">
        <v>7</v>
      </c>
      <c r="K5" s="736" t="s">
        <v>6</v>
      </c>
      <c r="L5" s="737" t="s">
        <v>243</v>
      </c>
      <c r="M5" s="737" t="s">
        <v>7</v>
      </c>
      <c r="N5" s="736" t="s">
        <v>6</v>
      </c>
      <c r="O5" s="737" t="s">
        <v>243</v>
      </c>
      <c r="P5" s="737" t="s">
        <v>7</v>
      </c>
      <c r="Q5" s="736" t="s">
        <v>6</v>
      </c>
      <c r="R5" s="737" t="s">
        <v>243</v>
      </c>
      <c r="S5" s="737" t="s">
        <v>7</v>
      </c>
      <c r="T5" s="736" t="s">
        <v>6</v>
      </c>
      <c r="U5" s="737" t="s">
        <v>243</v>
      </c>
      <c r="V5" s="737" t="s">
        <v>244</v>
      </c>
    </row>
    <row r="6" spans="1:60" s="336" customFormat="1" ht="21" customHeight="1">
      <c r="A6" s="335"/>
      <c r="C6" s="1351" t="s">
        <v>236</v>
      </c>
      <c r="D6" s="738" t="s">
        <v>232</v>
      </c>
      <c r="E6" s="791">
        <f>+G6-F6</f>
        <v>14995.883000000002</v>
      </c>
      <c r="F6" s="792">
        <v>3729.6390000000001</v>
      </c>
      <c r="G6" s="793">
        <v>18725.522000000001</v>
      </c>
      <c r="H6" s="791">
        <f>+J6-I6</f>
        <v>14849.925000000001</v>
      </c>
      <c r="I6" s="792">
        <v>3730.0439999999999</v>
      </c>
      <c r="J6" s="793">
        <v>18579.969000000001</v>
      </c>
      <c r="K6" s="791">
        <f>+M6-L6</f>
        <v>14962.237000000001</v>
      </c>
      <c r="L6" s="792">
        <v>3716.4679999999998</v>
      </c>
      <c r="M6" s="793">
        <v>18678.705000000002</v>
      </c>
      <c r="N6" s="791">
        <f>+P6-O6</f>
        <v>14948.216000000002</v>
      </c>
      <c r="O6" s="792">
        <v>3673.1489999999999</v>
      </c>
      <c r="P6" s="793">
        <v>18621.365000000002</v>
      </c>
      <c r="Q6" s="1100">
        <f>+S6-R6</f>
        <v>14502.174000000001</v>
      </c>
      <c r="R6" s="1101">
        <v>3724.3870000000002</v>
      </c>
      <c r="S6" s="1102">
        <v>18226.561000000002</v>
      </c>
      <c r="T6" s="1004">
        <f>+V6-U6</f>
        <v>14967.094999999999</v>
      </c>
      <c r="U6" s="1180">
        <v>3807.83</v>
      </c>
      <c r="V6" s="1181">
        <v>18774.924999999999</v>
      </c>
      <c r="W6" s="1182"/>
      <c r="X6" s="337"/>
    </row>
    <row r="7" spans="1:60" s="336" customFormat="1" ht="21" customHeight="1">
      <c r="A7" s="335"/>
      <c r="C7" s="1346"/>
      <c r="D7" s="738" t="s">
        <v>233</v>
      </c>
      <c r="E7" s="794">
        <f>+E6/G30</f>
        <v>0.22963245244549063</v>
      </c>
      <c r="F7" s="795">
        <f>+F6/G30</f>
        <v>5.7112085384124905E-2</v>
      </c>
      <c r="G7" s="795">
        <f>+G6/G30</f>
        <v>0.28674453782961551</v>
      </c>
      <c r="H7" s="794">
        <f>+H6/J30</f>
        <v>0.22572537443430621</v>
      </c>
      <c r="I7" s="795">
        <f>+I6/J30</f>
        <v>5.6698305113085566E-2</v>
      </c>
      <c r="J7" s="795">
        <f>+J6/J30</f>
        <v>0.28242367954739178</v>
      </c>
      <c r="K7" s="794">
        <f>+K6/M30</f>
        <v>0.22666501197668229</v>
      </c>
      <c r="L7" s="795">
        <f>+L6/M30</f>
        <v>5.6301291292936768E-2</v>
      </c>
      <c r="M7" s="795">
        <f>+M6/M30</f>
        <v>0.28296630326961908</v>
      </c>
      <c r="N7" s="794">
        <f>+N6/P30</f>
        <v>0.22427974728232783</v>
      </c>
      <c r="O7" s="795">
        <f>+O6/P30</f>
        <v>5.5111120246746172E-2</v>
      </c>
      <c r="P7" s="795">
        <f>+P6/P30</f>
        <v>0.27939086752907399</v>
      </c>
      <c r="Q7" s="1103">
        <f>+Q6/S30</f>
        <v>0.21849821149863854</v>
      </c>
      <c r="R7" s="1104">
        <f>+R6/S30</f>
        <v>5.6113786693552284E-2</v>
      </c>
      <c r="S7" s="1104">
        <f>+S6/S30</f>
        <v>0.27461199819219084</v>
      </c>
      <c r="T7" s="1005">
        <f>+T6/V30</f>
        <v>0.21995925246542891</v>
      </c>
      <c r="U7" s="1006">
        <f>+U6/V30</f>
        <v>5.5960588231412589E-2</v>
      </c>
      <c r="V7" s="1006">
        <f>+V6/V30</f>
        <v>0.2759198406968415</v>
      </c>
      <c r="W7" s="1182"/>
      <c r="X7" s="337"/>
    </row>
    <row r="8" spans="1:60" s="336" customFormat="1" ht="21" customHeight="1">
      <c r="A8" s="335"/>
      <c r="C8" s="1346"/>
      <c r="D8" s="738" t="s">
        <v>234</v>
      </c>
      <c r="E8" s="796">
        <f>+G8-F8</f>
        <v>211.101</v>
      </c>
      <c r="F8" s="797">
        <v>22.959</v>
      </c>
      <c r="G8" s="798">
        <v>234.06</v>
      </c>
      <c r="H8" s="796">
        <f>+J8-I8</f>
        <v>206.66400000000002</v>
      </c>
      <c r="I8" s="797">
        <v>23.581</v>
      </c>
      <c r="J8" s="798">
        <v>230.245</v>
      </c>
      <c r="K8" s="796">
        <f>+M8-L8</f>
        <v>303.16399999999999</v>
      </c>
      <c r="L8" s="797">
        <v>22.103000000000002</v>
      </c>
      <c r="M8" s="798">
        <v>325.267</v>
      </c>
      <c r="N8" s="796">
        <f>+P8-O8</f>
        <v>243.36700000000002</v>
      </c>
      <c r="O8" s="797">
        <v>17.768999999999998</v>
      </c>
      <c r="P8" s="798">
        <v>261.13600000000002</v>
      </c>
      <c r="Q8" s="1105">
        <f>+S8-R8</f>
        <v>215.05900000000003</v>
      </c>
      <c r="R8" s="1106">
        <v>17.329999999999998</v>
      </c>
      <c r="S8" s="1107">
        <v>232.38900000000001</v>
      </c>
      <c r="T8" s="1007">
        <f>+V8-U8</f>
        <v>248.15899999999999</v>
      </c>
      <c r="U8" s="1008">
        <v>19.053000000000001</v>
      </c>
      <c r="V8" s="1183">
        <v>267.21199999999999</v>
      </c>
      <c r="W8" s="1182"/>
    </row>
    <row r="9" spans="1:60" ht="21" customHeight="1">
      <c r="A9" s="216"/>
      <c r="C9" s="1347"/>
      <c r="D9" s="739" t="s">
        <v>235</v>
      </c>
      <c r="E9" s="799">
        <f t="shared" ref="E9:S9" si="0">E8/E6</f>
        <v>1.4077263739654408E-2</v>
      </c>
      <c r="F9" s="800">
        <f t="shared" si="0"/>
        <v>6.1558236601451238E-3</v>
      </c>
      <c r="G9" s="800">
        <f t="shared" si="0"/>
        <v>1.2499518037467794E-2</v>
      </c>
      <c r="H9" s="799">
        <f t="shared" si="0"/>
        <v>1.39168379638281E-2</v>
      </c>
      <c r="I9" s="800">
        <f t="shared" si="0"/>
        <v>6.3219093394072563E-3</v>
      </c>
      <c r="J9" s="800">
        <f t="shared" si="0"/>
        <v>1.2392108942700604E-2</v>
      </c>
      <c r="K9" s="799">
        <f t="shared" si="0"/>
        <v>2.0261943451370272E-2</v>
      </c>
      <c r="L9" s="800">
        <f t="shared" si="0"/>
        <v>5.9473134169324218E-3</v>
      </c>
      <c r="M9" s="800">
        <f t="shared" si="0"/>
        <v>1.7413787518995562E-2</v>
      </c>
      <c r="N9" s="799">
        <f t="shared" si="0"/>
        <v>1.6280671887534938E-2</v>
      </c>
      <c r="O9" s="800">
        <f t="shared" si="0"/>
        <v>4.8375385806565425E-3</v>
      </c>
      <c r="P9" s="800">
        <f t="shared" si="0"/>
        <v>1.4023461760187827E-2</v>
      </c>
      <c r="Q9" s="1108">
        <f t="shared" si="0"/>
        <v>1.4829431780366172E-2</v>
      </c>
      <c r="R9" s="1109">
        <f t="shared" si="0"/>
        <v>4.6531147273363369E-3</v>
      </c>
      <c r="S9" s="1109">
        <f t="shared" si="0"/>
        <v>1.2750019051866119E-2</v>
      </c>
      <c r="T9" s="1011">
        <f t="shared" ref="T9:V9" si="1">T8/T6</f>
        <v>1.6580304995725624E-2</v>
      </c>
      <c r="U9" s="1012">
        <f t="shared" si="1"/>
        <v>5.0036372422088173E-3</v>
      </c>
      <c r="V9" s="1012">
        <f t="shared" si="1"/>
        <v>1.4232387080108176E-2</v>
      </c>
      <c r="W9" s="1184"/>
    </row>
    <row r="10" spans="1:60" ht="21" customHeight="1">
      <c r="A10" s="216"/>
      <c r="C10" s="1345" t="s">
        <v>237</v>
      </c>
      <c r="D10" s="740" t="s">
        <v>232</v>
      </c>
      <c r="E10" s="801">
        <f>+G10-F10</f>
        <v>1925.9479999999999</v>
      </c>
      <c r="F10" s="802">
        <v>565.04899999999998</v>
      </c>
      <c r="G10" s="793">
        <v>2490.9969999999998</v>
      </c>
      <c r="H10" s="801">
        <f>+J10-I10</f>
        <v>2017.211</v>
      </c>
      <c r="I10" s="802">
        <v>543.19299999999998</v>
      </c>
      <c r="J10" s="793">
        <v>2560.404</v>
      </c>
      <c r="K10" s="801">
        <f>+M10-L10</f>
        <v>1884.5740000000001</v>
      </c>
      <c r="L10" s="802">
        <v>516.21</v>
      </c>
      <c r="M10" s="793">
        <v>2400.7840000000001</v>
      </c>
      <c r="N10" s="801">
        <f>+P10-O10</f>
        <v>1860.6769999999999</v>
      </c>
      <c r="O10" s="802">
        <v>475.37599999999998</v>
      </c>
      <c r="P10" s="793">
        <v>2336.0529999999999</v>
      </c>
      <c r="Q10" s="1110">
        <f>+S10-R10</f>
        <v>1666.623</v>
      </c>
      <c r="R10" s="1111">
        <v>446.32600000000002</v>
      </c>
      <c r="S10" s="1102">
        <v>2112.9490000000001</v>
      </c>
      <c r="T10" s="1010">
        <f>+V10-U10</f>
        <v>1736.6840000000002</v>
      </c>
      <c r="U10" s="1009">
        <v>426.26299999999998</v>
      </c>
      <c r="V10" s="1181">
        <v>2162.9470000000001</v>
      </c>
      <c r="W10" s="1184"/>
      <c r="X10" s="337"/>
    </row>
    <row r="11" spans="1:60" ht="21" customHeight="1">
      <c r="A11" s="216"/>
      <c r="C11" s="1346"/>
      <c r="D11" s="738" t="s">
        <v>233</v>
      </c>
      <c r="E11" s="794">
        <f>+E10/G30</f>
        <v>2.9492105434704159E-2</v>
      </c>
      <c r="F11" s="795">
        <f>+F10/G30</f>
        <v>8.6526140289219389E-3</v>
      </c>
      <c r="G11" s="795">
        <f>+G10/G30</f>
        <v>3.8144719463626096E-2</v>
      </c>
      <c r="H11" s="794">
        <f>+H10/J30</f>
        <v>3.0662492119522572E-2</v>
      </c>
      <c r="I11" s="795">
        <f>+I10/J30</f>
        <v>8.2567718904367586E-3</v>
      </c>
      <c r="J11" s="795">
        <f>+J10/J30</f>
        <v>3.8919264009959327E-2</v>
      </c>
      <c r="K11" s="794">
        <f>+K10/M30</f>
        <v>2.85496739746165E-2</v>
      </c>
      <c r="L11" s="795">
        <f>+L10/M30</f>
        <v>7.8201371781828587E-3</v>
      </c>
      <c r="M11" s="795">
        <f>+M10/M30</f>
        <v>3.6369811152799358E-2</v>
      </c>
      <c r="N11" s="794">
        <f>+N10/P30</f>
        <v>2.791718873570196E-2</v>
      </c>
      <c r="O11" s="795">
        <f>+O10/P30</f>
        <v>7.1324370175065606E-3</v>
      </c>
      <c r="P11" s="795">
        <f>+P10/P30</f>
        <v>3.5049625753208524E-2</v>
      </c>
      <c r="Q11" s="1103">
        <f>+Q10/S30</f>
        <v>2.5110314132384251E-2</v>
      </c>
      <c r="R11" s="1104">
        <f>+R10/S30</f>
        <v>6.7246078239953091E-3</v>
      </c>
      <c r="S11" s="1104">
        <f>+S10/S30</f>
        <v>3.1834921956379561E-2</v>
      </c>
      <c r="T11" s="1005">
        <f>+T10/V30</f>
        <v>2.5522635782606513E-2</v>
      </c>
      <c r="U11" s="1006">
        <f>+U10/V30</f>
        <v>6.2644414853831772E-3</v>
      </c>
      <c r="V11" s="1006">
        <f>+V10/V30</f>
        <v>3.178707726798969E-2</v>
      </c>
      <c r="W11" s="1184"/>
      <c r="X11" s="337"/>
    </row>
    <row r="12" spans="1:60" ht="21" customHeight="1">
      <c r="A12" s="216"/>
      <c r="C12" s="1346"/>
      <c r="D12" s="738" t="s">
        <v>234</v>
      </c>
      <c r="E12" s="796">
        <f>+G12-F12</f>
        <v>32.51</v>
      </c>
      <c r="F12" s="797">
        <v>1.4239999999999999</v>
      </c>
      <c r="G12" s="798">
        <v>33.933999999999997</v>
      </c>
      <c r="H12" s="796">
        <f>+J12-I12</f>
        <v>27.997999999999998</v>
      </c>
      <c r="I12" s="797">
        <v>1.484</v>
      </c>
      <c r="J12" s="798">
        <v>29.481999999999999</v>
      </c>
      <c r="K12" s="796">
        <f>+M12-L12</f>
        <v>32.153000000000006</v>
      </c>
      <c r="L12" s="797">
        <v>1.4339999999999999</v>
      </c>
      <c r="M12" s="798">
        <v>33.587000000000003</v>
      </c>
      <c r="N12" s="796">
        <f>+P12-O12</f>
        <v>30.531000000000002</v>
      </c>
      <c r="O12" s="797">
        <v>1.345</v>
      </c>
      <c r="P12" s="798">
        <v>31.876000000000001</v>
      </c>
      <c r="Q12" s="1105">
        <f>+S12-R12</f>
        <v>22.183</v>
      </c>
      <c r="R12" s="1106">
        <v>1.08</v>
      </c>
      <c r="S12" s="1107">
        <v>23.263000000000002</v>
      </c>
      <c r="T12" s="1007">
        <f>+V12-U12</f>
        <v>25.905999999999999</v>
      </c>
      <c r="U12" s="1008">
        <v>1.262</v>
      </c>
      <c r="V12" s="1183">
        <v>27.167999999999999</v>
      </c>
      <c r="W12" s="1184"/>
    </row>
    <row r="13" spans="1:60" ht="21" customHeight="1">
      <c r="A13" s="216"/>
      <c r="C13" s="1347"/>
      <c r="D13" s="739" t="s">
        <v>235</v>
      </c>
      <c r="E13" s="799">
        <f t="shared" ref="E13:S13" si="2">E12/E10</f>
        <v>1.6879998836936409E-2</v>
      </c>
      <c r="F13" s="800">
        <f t="shared" si="2"/>
        <v>2.5201354218837659E-3</v>
      </c>
      <c r="G13" s="800">
        <f t="shared" si="2"/>
        <v>1.3622657915685968E-2</v>
      </c>
      <c r="H13" s="799">
        <f t="shared" si="2"/>
        <v>1.3879559451143187E-2</v>
      </c>
      <c r="I13" s="800">
        <f t="shared" si="2"/>
        <v>2.7319939689944457E-3</v>
      </c>
      <c r="J13" s="800">
        <f t="shared" si="2"/>
        <v>1.151458910390704E-2</v>
      </c>
      <c r="K13" s="799">
        <f t="shared" si="2"/>
        <v>1.7061150159134109E-2</v>
      </c>
      <c r="L13" s="800">
        <f t="shared" si="2"/>
        <v>2.7779392107863078E-3</v>
      </c>
      <c r="M13" s="800">
        <f t="shared" si="2"/>
        <v>1.3990013262334304E-2</v>
      </c>
      <c r="N13" s="799">
        <f t="shared" si="2"/>
        <v>1.6408543771971172E-2</v>
      </c>
      <c r="O13" s="800">
        <f t="shared" si="2"/>
        <v>2.8293393019420418E-3</v>
      </c>
      <c r="P13" s="800">
        <f t="shared" si="2"/>
        <v>1.3645238357177686E-2</v>
      </c>
      <c r="Q13" s="1108">
        <f t="shared" si="2"/>
        <v>1.3310148725896618E-2</v>
      </c>
      <c r="R13" s="1109">
        <f t="shared" si="2"/>
        <v>2.4197559631300887E-3</v>
      </c>
      <c r="S13" s="1109">
        <f t="shared" si="2"/>
        <v>1.1009730949492865E-2</v>
      </c>
      <c r="T13" s="1011">
        <f t="shared" ref="T13:V13" si="3">T12/T10</f>
        <v>1.4916933650566249E-2</v>
      </c>
      <c r="U13" s="1012">
        <f t="shared" si="3"/>
        <v>2.9606135179454937E-3</v>
      </c>
      <c r="V13" s="1012">
        <f t="shared" si="3"/>
        <v>1.256064064445407E-2</v>
      </c>
      <c r="W13" s="1184"/>
    </row>
    <row r="14" spans="1:60" ht="21" customHeight="1">
      <c r="A14" s="216"/>
      <c r="C14" s="1345" t="s">
        <v>238</v>
      </c>
      <c r="D14" s="740" t="s">
        <v>232</v>
      </c>
      <c r="E14" s="801">
        <f>+G14-F14</f>
        <v>6070.0170000000007</v>
      </c>
      <c r="F14" s="802">
        <v>4390.7079999999996</v>
      </c>
      <c r="G14" s="793">
        <v>10460.725</v>
      </c>
      <c r="H14" s="801">
        <f>+J14-I14</f>
        <v>6085.612000000001</v>
      </c>
      <c r="I14" s="802">
        <v>4396.74</v>
      </c>
      <c r="J14" s="793">
        <v>10482.352000000001</v>
      </c>
      <c r="K14" s="801">
        <f>+M14-L14</f>
        <v>6176.4619999999995</v>
      </c>
      <c r="L14" s="802">
        <v>4449.3940000000002</v>
      </c>
      <c r="M14" s="793">
        <v>10625.856</v>
      </c>
      <c r="N14" s="801">
        <f>+P14-O14</f>
        <v>6084.5729999999994</v>
      </c>
      <c r="O14" s="802">
        <v>4503.8900000000003</v>
      </c>
      <c r="P14" s="793">
        <v>10588.463</v>
      </c>
      <c r="Q14" s="1110">
        <f>+S14-R14</f>
        <v>5918.2649999999994</v>
      </c>
      <c r="R14" s="1111">
        <v>4549.991</v>
      </c>
      <c r="S14" s="1102">
        <v>10468.255999999999</v>
      </c>
      <c r="T14" s="1010">
        <f>+V14-U14</f>
        <v>6079.3670000000002</v>
      </c>
      <c r="U14" s="1009">
        <v>4668.723</v>
      </c>
      <c r="V14" s="1181">
        <v>10748.09</v>
      </c>
      <c r="W14" s="1184"/>
      <c r="X14" s="337"/>
    </row>
    <row r="15" spans="1:60" ht="21" customHeight="1">
      <c r="A15" s="216"/>
      <c r="C15" s="1346"/>
      <c r="D15" s="738" t="s">
        <v>233</v>
      </c>
      <c r="E15" s="803">
        <f>+E14/G30</f>
        <v>9.2950371118247568E-2</v>
      </c>
      <c r="F15" s="804">
        <f>+F14/G30</f>
        <v>6.7235056849405603E-2</v>
      </c>
      <c r="G15" s="804">
        <f>+G14/G30</f>
        <v>0.16018542796765317</v>
      </c>
      <c r="H15" s="803">
        <f>+H14/J30</f>
        <v>9.2503972064633802E-2</v>
      </c>
      <c r="I15" s="804">
        <f>+I14/J30</f>
        <v>6.683237678239394E-2</v>
      </c>
      <c r="J15" s="804">
        <f>+J14/J30</f>
        <v>0.15933634884702774</v>
      </c>
      <c r="K15" s="803">
        <f>+K14/M30</f>
        <v>9.3568082981409992E-2</v>
      </c>
      <c r="L15" s="804">
        <f>+L14/M30</f>
        <v>6.7404489335316523E-2</v>
      </c>
      <c r="M15" s="804">
        <f>+M14/M30</f>
        <v>0.16097257231672651</v>
      </c>
      <c r="N15" s="803">
        <f>+N14/P30</f>
        <v>9.1291595917591437E-2</v>
      </c>
      <c r="O15" s="804">
        <f>+O14/P30</f>
        <v>6.7575375615886432E-2</v>
      </c>
      <c r="P15" s="804">
        <f>+P14/P30</f>
        <v>0.15886697153347787</v>
      </c>
      <c r="Q15" s="1112">
        <f>+Q14/S30</f>
        <v>8.9168032163659733E-2</v>
      </c>
      <c r="R15" s="1113">
        <f>+R14/S30</f>
        <v>6.855281806954612E-2</v>
      </c>
      <c r="S15" s="1113">
        <f>+S14/S30</f>
        <v>0.15772085023320584</v>
      </c>
      <c r="T15" s="1013">
        <f>+T14/V30</f>
        <v>8.9343524630731433E-2</v>
      </c>
      <c r="U15" s="1014">
        <f>+U14/V30</f>
        <v>6.8612434213062373E-2</v>
      </c>
      <c r="V15" s="1014">
        <f>+V14/V30</f>
        <v>0.15795595884379382</v>
      </c>
      <c r="W15" s="1184"/>
      <c r="X15" s="337"/>
    </row>
    <row r="16" spans="1:60" ht="21" customHeight="1">
      <c r="A16" s="216"/>
      <c r="C16" s="1346"/>
      <c r="D16" s="738" t="s">
        <v>234</v>
      </c>
      <c r="E16" s="796">
        <f>+G16-F16</f>
        <v>74.324000000000012</v>
      </c>
      <c r="F16" s="797">
        <v>33.646999999999998</v>
      </c>
      <c r="G16" s="798">
        <v>107.971</v>
      </c>
      <c r="H16" s="796">
        <f>+J16-I16</f>
        <v>65.004999999999995</v>
      </c>
      <c r="I16" s="797">
        <v>29.997</v>
      </c>
      <c r="J16" s="798">
        <v>95.001999999999995</v>
      </c>
      <c r="K16" s="796">
        <f>+M16-L16</f>
        <v>65.221000000000004</v>
      </c>
      <c r="L16" s="797">
        <v>29.113</v>
      </c>
      <c r="M16" s="798">
        <v>94.334000000000003</v>
      </c>
      <c r="N16" s="796">
        <f>+P16-O16</f>
        <v>56.280999999999999</v>
      </c>
      <c r="O16" s="797">
        <v>24.972000000000001</v>
      </c>
      <c r="P16" s="798">
        <v>81.253</v>
      </c>
      <c r="Q16" s="1105">
        <f>+S16-R16</f>
        <v>38.905999999999999</v>
      </c>
      <c r="R16" s="1106">
        <v>24.994</v>
      </c>
      <c r="S16" s="1107">
        <v>63.9</v>
      </c>
      <c r="T16" s="1007">
        <f>+V16-U16</f>
        <v>40.712999999999994</v>
      </c>
      <c r="U16" s="1008">
        <v>18.41</v>
      </c>
      <c r="V16" s="1183">
        <v>59.122999999999998</v>
      </c>
      <c r="W16" s="1184"/>
      <c r="X16" s="338"/>
    </row>
    <row r="17" spans="1:25" ht="21" customHeight="1">
      <c r="A17" s="216"/>
      <c r="C17" s="1347"/>
      <c r="D17" s="739" t="s">
        <v>235</v>
      </c>
      <c r="E17" s="799">
        <f t="shared" ref="E17:S17" si="4">E16/E14</f>
        <v>1.2244446761845973E-2</v>
      </c>
      <c r="F17" s="800">
        <f t="shared" si="4"/>
        <v>7.6632288004576943E-3</v>
      </c>
      <c r="G17" s="800">
        <f t="shared" si="4"/>
        <v>1.0321559930119566E-2</v>
      </c>
      <c r="H17" s="799">
        <f t="shared" si="4"/>
        <v>1.0681752303630264E-2</v>
      </c>
      <c r="I17" s="800">
        <f t="shared" si="4"/>
        <v>6.8225548929434082E-3</v>
      </c>
      <c r="J17" s="800">
        <f t="shared" si="4"/>
        <v>9.0630423401160346E-3</v>
      </c>
      <c r="K17" s="799">
        <f t="shared" si="4"/>
        <v>1.0559605159070033E-2</v>
      </c>
      <c r="L17" s="800">
        <f t="shared" si="4"/>
        <v>6.5431382341055878E-3</v>
      </c>
      <c r="M17" s="800">
        <f t="shared" si="4"/>
        <v>8.8777788820025415E-3</v>
      </c>
      <c r="N17" s="799">
        <f t="shared" si="4"/>
        <v>9.2497863038211569E-3</v>
      </c>
      <c r="O17" s="800">
        <f t="shared" si="4"/>
        <v>5.5445403861994853E-3</v>
      </c>
      <c r="P17" s="800">
        <f t="shared" si="4"/>
        <v>7.6737294166301573E-3</v>
      </c>
      <c r="Q17" s="1108">
        <f t="shared" si="4"/>
        <v>6.5738860966854306E-3</v>
      </c>
      <c r="R17" s="1109">
        <f t="shared" si="4"/>
        <v>5.4931976788525514E-3</v>
      </c>
      <c r="S17" s="1109">
        <f t="shared" si="4"/>
        <v>6.1041686408891795E-3</v>
      </c>
      <c r="T17" s="1011">
        <f t="shared" ref="T17:V17" si="5">T16/T14</f>
        <v>6.6969143333508226E-3</v>
      </c>
      <c r="U17" s="1012">
        <f t="shared" si="5"/>
        <v>3.9432624295765674E-3</v>
      </c>
      <c r="V17" s="1012">
        <f t="shared" si="5"/>
        <v>5.5007913033850659E-3</v>
      </c>
      <c r="W17" s="1184"/>
    </row>
    <row r="18" spans="1:25" ht="21" customHeight="1">
      <c r="A18" s="216"/>
      <c r="C18" s="1345" t="s">
        <v>239</v>
      </c>
      <c r="D18" s="740" t="s">
        <v>232</v>
      </c>
      <c r="E18" s="801">
        <f>+G18-F18</f>
        <v>845.1550000000002</v>
      </c>
      <c r="F18" s="802">
        <v>2246.962</v>
      </c>
      <c r="G18" s="793">
        <v>3092.1170000000002</v>
      </c>
      <c r="H18" s="801">
        <f>+J18-I18</f>
        <v>850.02699999999959</v>
      </c>
      <c r="I18" s="802">
        <v>2275.7310000000002</v>
      </c>
      <c r="J18" s="793">
        <v>3125.7579999999998</v>
      </c>
      <c r="K18" s="801">
        <f>+M18-L18</f>
        <v>765.91799999999967</v>
      </c>
      <c r="L18" s="802">
        <v>2321.5990000000002</v>
      </c>
      <c r="M18" s="793">
        <v>3087.5169999999998</v>
      </c>
      <c r="N18" s="801">
        <f>+P18-O18</f>
        <v>773.96199999999999</v>
      </c>
      <c r="O18" s="802">
        <v>2377.6999999999998</v>
      </c>
      <c r="P18" s="793">
        <v>3151.6619999999998</v>
      </c>
      <c r="Q18" s="1110">
        <f>+S18-R18</f>
        <v>773.11300000000028</v>
      </c>
      <c r="R18" s="1111">
        <v>2426.8629999999998</v>
      </c>
      <c r="S18" s="1102">
        <v>3199.9760000000001</v>
      </c>
      <c r="T18" s="1010">
        <f>+V18-U18</f>
        <v>771.84699999999975</v>
      </c>
      <c r="U18" s="1009">
        <v>2485.873</v>
      </c>
      <c r="V18" s="1181">
        <v>3257.72</v>
      </c>
      <c r="W18" s="1184"/>
      <c r="X18" s="337"/>
    </row>
    <row r="19" spans="1:25" ht="21" customHeight="1">
      <c r="A19" s="216"/>
      <c r="C19" s="1346"/>
      <c r="D19" s="738" t="s">
        <v>233</v>
      </c>
      <c r="E19" s="803">
        <f>+E18/G30</f>
        <v>1.29418864728785E-2</v>
      </c>
      <c r="F19" s="804">
        <f>+F18/G30</f>
        <v>3.4407803435904674E-2</v>
      </c>
      <c r="G19" s="804">
        <f>+G18/G30</f>
        <v>4.7349689908783174E-2</v>
      </c>
      <c r="H19" s="803">
        <f>+H18/J30</f>
        <v>1.2920783293805853E-2</v>
      </c>
      <c r="I19" s="804">
        <f>+I18/J30</f>
        <v>3.4592109528280991E-2</v>
      </c>
      <c r="J19" s="804">
        <f>+J18/J30</f>
        <v>4.7512892822086844E-2</v>
      </c>
      <c r="K19" s="803">
        <f>+K18/M30</f>
        <v>1.1602998444895403E-2</v>
      </c>
      <c r="L19" s="804">
        <f>+L18/M30</f>
        <v>3.5170226560376876E-2</v>
      </c>
      <c r="M19" s="804">
        <f>+M18/M30</f>
        <v>4.6773225005272277E-2</v>
      </c>
      <c r="N19" s="803">
        <f>+N18/P30</f>
        <v>1.1612355733026937E-2</v>
      </c>
      <c r="O19" s="804">
        <f>+O18/P30</f>
        <v>3.5674488187298792E-2</v>
      </c>
      <c r="P19" s="804">
        <f>+P18/P30</f>
        <v>4.7286843920325727E-2</v>
      </c>
      <c r="Q19" s="1112">
        <f>+Q18/S30</f>
        <v>1.1648171355987523E-2</v>
      </c>
      <c r="R19" s="1113">
        <f>+R18/S30</f>
        <v>3.6564533362530363E-2</v>
      </c>
      <c r="S19" s="1113">
        <f>+S18/S30</f>
        <v>4.8212704718517886E-2</v>
      </c>
      <c r="T19" s="1013">
        <f>+T18/V30</f>
        <v>1.1343209162344721E-2</v>
      </c>
      <c r="U19" s="1014">
        <f>+U18/V30</f>
        <v>3.6532858701303975E-2</v>
      </c>
      <c r="V19" s="1014">
        <f>+V18/V30</f>
        <v>4.7876067863648696E-2</v>
      </c>
      <c r="W19" s="1184"/>
      <c r="X19" s="337"/>
    </row>
    <row r="20" spans="1:25" ht="21" customHeight="1">
      <c r="A20" s="216"/>
      <c r="C20" s="1346"/>
      <c r="D20" s="738" t="s">
        <v>234</v>
      </c>
      <c r="E20" s="796">
        <f>+G20-F20</f>
        <v>38.676000000000002</v>
      </c>
      <c r="F20" s="797">
        <v>16.376000000000001</v>
      </c>
      <c r="G20" s="798">
        <v>55.052</v>
      </c>
      <c r="H20" s="796">
        <f>+J20-I20</f>
        <v>47.57</v>
      </c>
      <c r="I20" s="797">
        <v>12.366</v>
      </c>
      <c r="J20" s="798">
        <v>59.936</v>
      </c>
      <c r="K20" s="796">
        <f>+M20-L20</f>
        <v>7.8559999999999999</v>
      </c>
      <c r="L20" s="797">
        <v>12.109</v>
      </c>
      <c r="M20" s="798">
        <v>19.965</v>
      </c>
      <c r="N20" s="796">
        <f>+P20-O20</f>
        <v>6.7120000000000015</v>
      </c>
      <c r="O20" s="797">
        <v>12.968999999999999</v>
      </c>
      <c r="P20" s="798">
        <v>19.681000000000001</v>
      </c>
      <c r="Q20" s="1105">
        <f>+S20-R20</f>
        <v>4.9290000000000003</v>
      </c>
      <c r="R20" s="1106">
        <v>12.840999999999999</v>
      </c>
      <c r="S20" s="1107">
        <v>17.77</v>
      </c>
      <c r="T20" s="1007">
        <f>+V20-U20</f>
        <v>0.96199999999999974</v>
      </c>
      <c r="U20" s="1008">
        <v>7.8680000000000003</v>
      </c>
      <c r="V20" s="1183">
        <v>8.83</v>
      </c>
      <c r="W20" s="1184"/>
    </row>
    <row r="21" spans="1:25" ht="21" customHeight="1">
      <c r="A21" s="216"/>
      <c r="C21" s="1347"/>
      <c r="D21" s="739" t="s">
        <v>235</v>
      </c>
      <c r="E21" s="799">
        <f t="shared" ref="E21:S21" si="6">E20/E18</f>
        <v>4.5762019984499878E-2</v>
      </c>
      <c r="F21" s="800">
        <f t="shared" si="6"/>
        <v>7.2880627264724556E-3</v>
      </c>
      <c r="G21" s="800">
        <f t="shared" si="6"/>
        <v>1.7803983484454177E-2</v>
      </c>
      <c r="H21" s="799">
        <f t="shared" si="6"/>
        <v>5.5962928236397223E-2</v>
      </c>
      <c r="I21" s="800">
        <f t="shared" si="6"/>
        <v>5.4338583953903157E-3</v>
      </c>
      <c r="J21" s="800">
        <f t="shared" si="6"/>
        <v>1.9174868943788996E-2</v>
      </c>
      <c r="K21" s="799">
        <f t="shared" si="6"/>
        <v>1.0256972678537394E-2</v>
      </c>
      <c r="L21" s="800">
        <f t="shared" si="6"/>
        <v>5.2158016952970768E-3</v>
      </c>
      <c r="M21" s="800">
        <f t="shared" si="6"/>
        <v>6.4663611568778409E-3</v>
      </c>
      <c r="N21" s="799">
        <f t="shared" si="6"/>
        <v>8.6722603952132035E-3</v>
      </c>
      <c r="O21" s="800">
        <f t="shared" si="6"/>
        <v>5.4544307524077894E-3</v>
      </c>
      <c r="P21" s="800">
        <f t="shared" si="6"/>
        <v>6.2446417160215793E-3</v>
      </c>
      <c r="Q21" s="1108">
        <f t="shared" si="6"/>
        <v>6.3755233710984013E-3</v>
      </c>
      <c r="R21" s="1109">
        <f t="shared" si="6"/>
        <v>5.291192786737447E-3</v>
      </c>
      <c r="S21" s="1109">
        <f t="shared" si="6"/>
        <v>5.5531666487498655E-3</v>
      </c>
      <c r="T21" s="1011">
        <f t="shared" ref="T21:V21" si="7">T20/T18</f>
        <v>1.2463610015974668E-3</v>
      </c>
      <c r="U21" s="1012">
        <f t="shared" si="7"/>
        <v>3.1650852638087303E-3</v>
      </c>
      <c r="V21" s="1012">
        <f t="shared" si="7"/>
        <v>2.710484633424604E-3</v>
      </c>
      <c r="W21" s="1184"/>
    </row>
    <row r="22" spans="1:25" ht="21" customHeight="1">
      <c r="A22" s="216"/>
      <c r="C22" s="1352" t="s">
        <v>240</v>
      </c>
      <c r="D22" s="740" t="s">
        <v>232</v>
      </c>
      <c r="E22" s="801">
        <f>+G22-F22</f>
        <v>5087.5119999999988</v>
      </c>
      <c r="F22" s="802">
        <v>15158.7</v>
      </c>
      <c r="G22" s="793">
        <v>20246.212</v>
      </c>
      <c r="H22" s="801">
        <f>+J22-I22</f>
        <v>5077.0779999999995</v>
      </c>
      <c r="I22" s="802">
        <v>15497.611999999999</v>
      </c>
      <c r="J22" s="793">
        <v>20574.689999999999</v>
      </c>
      <c r="K22" s="801">
        <f>+M22-L22</f>
        <v>4718.2019999999993</v>
      </c>
      <c r="L22" s="802">
        <v>16106.187</v>
      </c>
      <c r="M22" s="793">
        <v>20824.388999999999</v>
      </c>
      <c r="N22" s="801">
        <f>+P22-O22</f>
        <v>4738.3250000000007</v>
      </c>
      <c r="O22" s="802">
        <v>16771.075000000001</v>
      </c>
      <c r="P22" s="793">
        <v>21509.4</v>
      </c>
      <c r="Q22" s="1110">
        <f>+S22-R22</f>
        <v>4854.0869999999995</v>
      </c>
      <c r="R22" s="1111">
        <v>16977.076000000001</v>
      </c>
      <c r="S22" s="1102">
        <v>21831.163</v>
      </c>
      <c r="T22" s="1010">
        <f>+V22-U22</f>
        <v>4936.9360000000015</v>
      </c>
      <c r="U22" s="1009">
        <v>17440.356</v>
      </c>
      <c r="V22" s="1181">
        <v>22377.292000000001</v>
      </c>
      <c r="W22" s="1184"/>
      <c r="X22" s="337"/>
    </row>
    <row r="23" spans="1:25" ht="21" customHeight="1">
      <c r="A23" s="216"/>
      <c r="C23" s="1353"/>
      <c r="D23" s="738" t="s">
        <v>233</v>
      </c>
      <c r="E23" s="794">
        <f>+E22/G30</f>
        <v>7.7905239551806491E-2</v>
      </c>
      <c r="F23" s="795">
        <f>+F22/G30</f>
        <v>0.2321256745525061</v>
      </c>
      <c r="G23" s="795">
        <f>+G22/G30</f>
        <v>0.3100309141043126</v>
      </c>
      <c r="H23" s="794">
        <f>+H22/J30</f>
        <v>7.7173812836238448E-2</v>
      </c>
      <c r="I23" s="795">
        <f>+I22/J30</f>
        <v>0.23557050096465784</v>
      </c>
      <c r="J23" s="795">
        <f>+J22/J30</f>
        <v>0.31274431380089629</v>
      </c>
      <c r="K23" s="794">
        <f>+K22/M30</f>
        <v>7.1476699161923854E-2</v>
      </c>
      <c r="L23" s="795">
        <f>+L22/M30</f>
        <v>0.24399486983488394</v>
      </c>
      <c r="M23" s="795">
        <f>+M22/M30</f>
        <v>0.31547156899680778</v>
      </c>
      <c r="N23" s="794">
        <f>+N22/P30</f>
        <v>7.1092786827641238E-2</v>
      </c>
      <c r="O23" s="795">
        <f>+O22/P30</f>
        <v>0.25162952305833458</v>
      </c>
      <c r="P23" s="795">
        <f>+P22/P30</f>
        <v>0.32272230988597583</v>
      </c>
      <c r="Q23" s="1103">
        <f>+Q22/S30</f>
        <v>7.3134505761604546E-2</v>
      </c>
      <c r="R23" s="1104">
        <f>+R22/S30</f>
        <v>0.25578652845266237</v>
      </c>
      <c r="S23" s="1104">
        <f>+S22/S30</f>
        <v>0.32892103421426694</v>
      </c>
      <c r="T23" s="1005">
        <f>+T22/V30</f>
        <v>7.2554143073833982E-2</v>
      </c>
      <c r="U23" s="1006">
        <f>+U22/V30</f>
        <v>0.25630676283480247</v>
      </c>
      <c r="V23" s="1006">
        <f>+V22/V30</f>
        <v>0.32886090590863648</v>
      </c>
      <c r="W23" s="1184"/>
      <c r="X23" s="337"/>
    </row>
    <row r="24" spans="1:25" ht="21" customHeight="1">
      <c r="A24" s="216"/>
      <c r="C24" s="1353"/>
      <c r="D24" s="738" t="s">
        <v>234</v>
      </c>
      <c r="E24" s="796">
        <f>+G24-F24</f>
        <v>332.49299999999999</v>
      </c>
      <c r="F24" s="797">
        <v>31.338000000000001</v>
      </c>
      <c r="G24" s="798">
        <v>363.83100000000002</v>
      </c>
      <c r="H24" s="796">
        <f>+J24-I24</f>
        <v>332.93400000000003</v>
      </c>
      <c r="I24" s="797">
        <v>31.504999999999999</v>
      </c>
      <c r="J24" s="798">
        <v>364.43900000000002</v>
      </c>
      <c r="K24" s="796">
        <f>+M24-L24</f>
        <v>55.762</v>
      </c>
      <c r="L24" s="797">
        <v>26.31</v>
      </c>
      <c r="M24" s="798">
        <v>82.072000000000003</v>
      </c>
      <c r="N24" s="796">
        <f>+P24-O24</f>
        <v>50.446000000000012</v>
      </c>
      <c r="O24" s="797">
        <v>100.19799999999999</v>
      </c>
      <c r="P24" s="798">
        <v>150.64400000000001</v>
      </c>
      <c r="Q24" s="1105">
        <f>+S24-R24</f>
        <v>49.072999999999993</v>
      </c>
      <c r="R24" s="1106">
        <v>23.687999999999999</v>
      </c>
      <c r="S24" s="1107">
        <v>72.760999999999996</v>
      </c>
      <c r="T24" s="1007">
        <f>+V24-U24</f>
        <v>40.405000000000001</v>
      </c>
      <c r="U24" s="1008">
        <v>30.134</v>
      </c>
      <c r="V24" s="1183">
        <v>70.539000000000001</v>
      </c>
      <c r="W24" s="1184"/>
    </row>
    <row r="25" spans="1:25" ht="21" customHeight="1">
      <c r="A25" s="216"/>
      <c r="C25" s="1354"/>
      <c r="D25" s="739" t="s">
        <v>235</v>
      </c>
      <c r="E25" s="799">
        <f t="shared" ref="E25:S25" si="8">E24/E22</f>
        <v>6.5354735281214091E-2</v>
      </c>
      <c r="F25" s="800">
        <f t="shared" si="8"/>
        <v>2.0673276732173602E-3</v>
      </c>
      <c r="G25" s="800">
        <f t="shared" si="8"/>
        <v>1.7970324522928044E-2</v>
      </c>
      <c r="H25" s="799">
        <f t="shared" si="8"/>
        <v>6.5575908032139751E-2</v>
      </c>
      <c r="I25" s="800">
        <f t="shared" si="8"/>
        <v>2.0328938419673947E-3</v>
      </c>
      <c r="J25" s="800">
        <f t="shared" si="8"/>
        <v>1.7712976477409867E-2</v>
      </c>
      <c r="K25" s="799">
        <f t="shared" si="8"/>
        <v>1.1818485092414443E-2</v>
      </c>
      <c r="L25" s="800">
        <f t="shared" si="8"/>
        <v>1.6335337470004538E-3</v>
      </c>
      <c r="M25" s="800">
        <f t="shared" si="8"/>
        <v>3.9411480452079531E-3</v>
      </c>
      <c r="N25" s="799">
        <f t="shared" si="8"/>
        <v>1.0646378203268034E-2</v>
      </c>
      <c r="O25" s="800">
        <f t="shared" si="8"/>
        <v>5.9744530389375747E-3</v>
      </c>
      <c r="P25" s="800">
        <f t="shared" si="8"/>
        <v>7.0036356197755402E-3</v>
      </c>
      <c r="Q25" s="1108">
        <f t="shared" si="8"/>
        <v>1.0109625146809275E-2</v>
      </c>
      <c r="R25" s="1109">
        <f t="shared" si="8"/>
        <v>1.3952932766514092E-3</v>
      </c>
      <c r="S25" s="1109">
        <f t="shared" si="8"/>
        <v>3.3328961906427062E-3</v>
      </c>
      <c r="T25" s="1011">
        <f t="shared" ref="T25:V25" si="9">T24/T22</f>
        <v>8.1842260057655176E-3</v>
      </c>
      <c r="U25" s="1012">
        <f t="shared" si="9"/>
        <v>1.7278317025179991E-3</v>
      </c>
      <c r="V25" s="1012">
        <f t="shared" si="9"/>
        <v>3.152258101650548E-3</v>
      </c>
      <c r="W25" s="1184"/>
    </row>
    <row r="26" spans="1:25" ht="21" customHeight="1">
      <c r="A26" s="216"/>
      <c r="C26" s="1345" t="s">
        <v>241</v>
      </c>
      <c r="D26" s="740" t="s">
        <v>232</v>
      </c>
      <c r="E26" s="801">
        <f t="shared" ref="E26:S26" si="10">E30-SUM(E6,E10,E14,E18,E22)</f>
        <v>6492.1720000000059</v>
      </c>
      <c r="F26" s="802">
        <f t="shared" si="10"/>
        <v>3796.1039999999994</v>
      </c>
      <c r="G26" s="802">
        <f t="shared" si="10"/>
        <v>10288.276000000005</v>
      </c>
      <c r="H26" s="801">
        <f t="shared" si="10"/>
        <v>6630.8619999999937</v>
      </c>
      <c r="I26" s="802">
        <f t="shared" si="10"/>
        <v>3833.5400000000009</v>
      </c>
      <c r="J26" s="802">
        <f t="shared" si="10"/>
        <v>10464.402000000002</v>
      </c>
      <c r="K26" s="801">
        <f t="shared" si="10"/>
        <v>6509.4989999999962</v>
      </c>
      <c r="L26" s="802">
        <f t="shared" si="10"/>
        <v>3883.6009999999987</v>
      </c>
      <c r="M26" s="802">
        <f t="shared" si="10"/>
        <v>10393.099999999991</v>
      </c>
      <c r="N26" s="801">
        <f t="shared" si="10"/>
        <v>6519.4759999999878</v>
      </c>
      <c r="O26" s="802">
        <f t="shared" si="10"/>
        <v>3923.4509999999973</v>
      </c>
      <c r="P26" s="802">
        <f t="shared" si="10"/>
        <v>10442.926999999996</v>
      </c>
      <c r="Q26" s="1110">
        <f t="shared" si="10"/>
        <v>6423.3279999999977</v>
      </c>
      <c r="R26" s="1111">
        <f t="shared" si="10"/>
        <v>4109.8159999999989</v>
      </c>
      <c r="S26" s="1111">
        <f t="shared" si="10"/>
        <v>10533.143999999993</v>
      </c>
      <c r="T26" s="1010">
        <f t="shared" ref="T26:V26" si="11">T30-SUM(T6,T10,T14,T18,T22)</f>
        <v>6466.5210000000006</v>
      </c>
      <c r="U26" s="1009">
        <f t="shared" si="11"/>
        <v>4257.3580000000002</v>
      </c>
      <c r="V26" s="1009">
        <f t="shared" si="11"/>
        <v>10723.879000000001</v>
      </c>
      <c r="W26" s="1184"/>
      <c r="X26" s="337"/>
    </row>
    <row r="27" spans="1:25" ht="21" customHeight="1">
      <c r="A27" s="216"/>
      <c r="C27" s="1346"/>
      <c r="D27" s="738" t="s">
        <v>233</v>
      </c>
      <c r="E27" s="803">
        <f>+E26/G30</f>
        <v>9.9414844598210525E-2</v>
      </c>
      <c r="F27" s="804">
        <f>+F26/G30</f>
        <v>5.8129866127798982E-2</v>
      </c>
      <c r="G27" s="804">
        <f>+G26/G30</f>
        <v>0.15754471072600951</v>
      </c>
      <c r="H27" s="803">
        <f>+H26/J30</f>
        <v>0.1007920112574448</v>
      </c>
      <c r="I27" s="804">
        <f>+I26/J30</f>
        <v>5.8271489715193199E-2</v>
      </c>
      <c r="J27" s="804">
        <f>+J26/J30</f>
        <v>0.15906350097263811</v>
      </c>
      <c r="K27" s="803">
        <f>+K26/M30</f>
        <v>9.8613306873644654E-2</v>
      </c>
      <c r="L27" s="804">
        <f>+L26/M30</f>
        <v>5.8833212385130312E-2</v>
      </c>
      <c r="M27" s="804">
        <f>+M26/M30</f>
        <v>0.15744651925877493</v>
      </c>
      <c r="N27" s="803">
        <f>+N26/P30</f>
        <v>9.7816784938965201E-2</v>
      </c>
      <c r="O27" s="804">
        <f>+O26/P30</f>
        <v>5.8866596438972761E-2</v>
      </c>
      <c r="P27" s="804">
        <f>+P26/P30</f>
        <v>0.15668338137793814</v>
      </c>
      <c r="Q27" s="1112">
        <f>+Q26/S30</f>
        <v>9.6777605886477866E-2</v>
      </c>
      <c r="R27" s="1113">
        <f>+R26/S30</f>
        <v>6.1920884798961066E-2</v>
      </c>
      <c r="S27" s="1113">
        <f>+S26/S30</f>
        <v>0.15869849068543887</v>
      </c>
      <c r="T27" s="1013">
        <f>+T26/V30</f>
        <v>9.5033212872103645E-2</v>
      </c>
      <c r="U27" s="1014">
        <f>+U26/V30</f>
        <v>6.2566936546986154E-2</v>
      </c>
      <c r="V27" s="1014">
        <f>+V26/V30</f>
        <v>0.15760014941908979</v>
      </c>
      <c r="W27" s="1184"/>
      <c r="X27" s="337"/>
      <c r="Y27" s="338"/>
    </row>
    <row r="28" spans="1:25" ht="21" customHeight="1">
      <c r="A28" s="216"/>
      <c r="C28" s="1346"/>
      <c r="D28" s="738" t="s">
        <v>234</v>
      </c>
      <c r="E28" s="796">
        <f t="shared" ref="E28:S28" si="12">E32-SUM(E8,E12,E16,E20,E24)</f>
        <v>173.77099999999996</v>
      </c>
      <c r="F28" s="797">
        <f t="shared" si="12"/>
        <v>14.867000000000004</v>
      </c>
      <c r="G28" s="797">
        <f t="shared" si="12"/>
        <v>188.63799999999992</v>
      </c>
      <c r="H28" s="796">
        <f t="shared" si="12"/>
        <v>176.44599999999991</v>
      </c>
      <c r="I28" s="797">
        <f t="shared" si="12"/>
        <v>16.550000000000011</v>
      </c>
      <c r="J28" s="797">
        <f t="shared" si="12"/>
        <v>192.99599999999998</v>
      </c>
      <c r="K28" s="796">
        <f t="shared" si="12"/>
        <v>83.486000000000047</v>
      </c>
      <c r="L28" s="797">
        <f t="shared" si="12"/>
        <v>14.031999999999996</v>
      </c>
      <c r="M28" s="797">
        <f t="shared" si="12"/>
        <v>97.518000000000143</v>
      </c>
      <c r="N28" s="796">
        <f t="shared" si="12"/>
        <v>77.098999999999933</v>
      </c>
      <c r="O28" s="797">
        <f t="shared" si="12"/>
        <v>14.312000000000012</v>
      </c>
      <c r="P28" s="797">
        <f t="shared" si="12"/>
        <v>91.411000000000058</v>
      </c>
      <c r="Q28" s="1105">
        <f t="shared" si="12"/>
        <v>51.959000000000003</v>
      </c>
      <c r="R28" s="1106">
        <f t="shared" si="12"/>
        <v>15.706000000000003</v>
      </c>
      <c r="S28" s="1106">
        <f t="shared" si="12"/>
        <v>67.66500000000002</v>
      </c>
      <c r="T28" s="1007">
        <f t="shared" ref="T28:V28" si="13">T32-SUM(T8,T12,T16,T20,T24)</f>
        <v>56.406999999999982</v>
      </c>
      <c r="U28" s="1008">
        <f t="shared" si="13"/>
        <v>11.164000000000001</v>
      </c>
      <c r="V28" s="1008">
        <f t="shared" si="13"/>
        <v>67.571000000000026</v>
      </c>
      <c r="W28" s="1184"/>
    </row>
    <row r="29" spans="1:25" ht="21" customHeight="1">
      <c r="A29" s="216"/>
      <c r="C29" s="1347"/>
      <c r="D29" s="739" t="s">
        <v>235</v>
      </c>
      <c r="E29" s="799">
        <f t="shared" ref="E29:S29" si="14">E28/E26</f>
        <v>2.6766234782442579E-2</v>
      </c>
      <c r="F29" s="800">
        <f t="shared" si="14"/>
        <v>3.9163837450185788E-3</v>
      </c>
      <c r="G29" s="800">
        <f t="shared" si="14"/>
        <v>1.8335239062404609E-2</v>
      </c>
      <c r="H29" s="799">
        <f t="shared" si="14"/>
        <v>2.6609813324421482E-2</v>
      </c>
      <c r="I29" s="800">
        <f t="shared" si="14"/>
        <v>4.3171585531910474E-3</v>
      </c>
      <c r="J29" s="800">
        <f t="shared" si="14"/>
        <v>1.8443098802970292E-2</v>
      </c>
      <c r="K29" s="799">
        <f t="shared" si="14"/>
        <v>1.2825257366196706E-2</v>
      </c>
      <c r="L29" s="800">
        <f t="shared" si="14"/>
        <v>3.6131415147951608E-3</v>
      </c>
      <c r="M29" s="800">
        <f t="shared" si="14"/>
        <v>9.3829559996536378E-3</v>
      </c>
      <c r="N29" s="799">
        <f t="shared" si="14"/>
        <v>1.1825950429144931E-2</v>
      </c>
      <c r="O29" s="800">
        <f t="shared" si="14"/>
        <v>3.6478090334249166E-3</v>
      </c>
      <c r="P29" s="800">
        <f t="shared" si="14"/>
        <v>8.7533887769205027E-3</v>
      </c>
      <c r="Q29" s="1108">
        <f t="shared" si="14"/>
        <v>8.0891089478849626E-3</v>
      </c>
      <c r="R29" s="1109">
        <f t="shared" si="14"/>
        <v>3.8215822800826138E-3</v>
      </c>
      <c r="S29" s="1109">
        <f t="shared" si="14"/>
        <v>6.4240078745719286E-3</v>
      </c>
      <c r="T29" s="1011">
        <f t="shared" ref="T29:V29" si="15">T28/T26</f>
        <v>8.7229284494707397E-3</v>
      </c>
      <c r="U29" s="1012">
        <f t="shared" si="15"/>
        <v>2.622283585265792E-3</v>
      </c>
      <c r="V29" s="1012">
        <f t="shared" si="15"/>
        <v>6.300984932784119E-3</v>
      </c>
      <c r="W29" s="1184"/>
    </row>
    <row r="30" spans="1:25" ht="21" customHeight="1">
      <c r="A30" s="216"/>
      <c r="C30" s="1348" t="s">
        <v>94</v>
      </c>
      <c r="D30" s="741" t="s">
        <v>232</v>
      </c>
      <c r="E30" s="805">
        <f>+G30-F30</f>
        <v>35416.687000000005</v>
      </c>
      <c r="F30" s="806">
        <v>29887.162</v>
      </c>
      <c r="G30" s="806">
        <v>65303.849000000002</v>
      </c>
      <c r="H30" s="805">
        <f>+J30-I30</f>
        <v>35510.714999999997</v>
      </c>
      <c r="I30" s="806">
        <v>30276.86</v>
      </c>
      <c r="J30" s="806">
        <v>65787.574999999997</v>
      </c>
      <c r="K30" s="805">
        <f>+M30-L30</f>
        <v>35016.891999999993</v>
      </c>
      <c r="L30" s="806">
        <v>30993.458999999999</v>
      </c>
      <c r="M30" s="806">
        <v>66010.350999999995</v>
      </c>
      <c r="N30" s="805">
        <f>+P30-O30</f>
        <v>34925.228999999992</v>
      </c>
      <c r="O30" s="806">
        <v>31724.641</v>
      </c>
      <c r="P30" s="806">
        <v>66649.87</v>
      </c>
      <c r="Q30" s="1114">
        <f>+S30-R30</f>
        <v>34137.589999999997</v>
      </c>
      <c r="R30" s="1115">
        <v>32234.458999999999</v>
      </c>
      <c r="S30" s="1115">
        <v>66372.048999999999</v>
      </c>
      <c r="T30" s="1015">
        <f>+V30-U30</f>
        <v>34958.450000000004</v>
      </c>
      <c r="U30" s="1185">
        <v>33086.402999999998</v>
      </c>
      <c r="V30" s="1185">
        <v>68044.853000000003</v>
      </c>
      <c r="W30" s="1184"/>
      <c r="X30" s="337"/>
    </row>
    <row r="31" spans="1:25" ht="21" customHeight="1">
      <c r="A31" s="216"/>
      <c r="C31" s="1349"/>
      <c r="D31" s="738" t="s">
        <v>233</v>
      </c>
      <c r="E31" s="794">
        <f>+E30/G30</f>
        <v>0.5423368996213378</v>
      </c>
      <c r="F31" s="795">
        <f>+F30/G30</f>
        <v>0.4576631003786622</v>
      </c>
      <c r="G31" s="795">
        <f>+G30/G30</f>
        <v>1</v>
      </c>
      <c r="H31" s="794">
        <f>+H30/J30</f>
        <v>0.53977844600595171</v>
      </c>
      <c r="I31" s="795">
        <f>+I30/J30</f>
        <v>0.46022155399404829</v>
      </c>
      <c r="J31" s="795">
        <f>+J30/J30</f>
        <v>1</v>
      </c>
      <c r="K31" s="794">
        <f>+K30/M30</f>
        <v>0.53047577341317265</v>
      </c>
      <c r="L31" s="795">
        <f>+L30/M30</f>
        <v>0.4695242265868273</v>
      </c>
      <c r="M31" s="795">
        <f>+M30/M30</f>
        <v>1</v>
      </c>
      <c r="N31" s="794">
        <f>+N30/P30</f>
        <v>0.52401045943525459</v>
      </c>
      <c r="O31" s="795">
        <f>+O30/P30</f>
        <v>0.47598954056474529</v>
      </c>
      <c r="P31" s="795">
        <f>+P30/P30</f>
        <v>1</v>
      </c>
      <c r="Q31" s="1103">
        <f>+Q30/S30</f>
        <v>0.51433684079875241</v>
      </c>
      <c r="R31" s="1104">
        <f>+R30/S30</f>
        <v>0.48566315920124747</v>
      </c>
      <c r="S31" s="1104">
        <f>+S30/S30</f>
        <v>1</v>
      </c>
      <c r="T31" s="1005">
        <f>+T30/V30</f>
        <v>0.51375597798704931</v>
      </c>
      <c r="U31" s="1006">
        <f>+U30/V30</f>
        <v>0.48624402201295075</v>
      </c>
      <c r="V31" s="1006">
        <f>+V30/V30</f>
        <v>1</v>
      </c>
      <c r="W31" s="1184"/>
      <c r="X31" s="337"/>
    </row>
    <row r="32" spans="1:25" ht="21" customHeight="1">
      <c r="A32" s="216"/>
      <c r="C32" s="1349"/>
      <c r="D32" s="742" t="s">
        <v>234</v>
      </c>
      <c r="E32" s="807">
        <f>+G32-F32</f>
        <v>862.875</v>
      </c>
      <c r="F32" s="604">
        <v>120.611</v>
      </c>
      <c r="G32" s="604">
        <v>983.48599999999999</v>
      </c>
      <c r="H32" s="807">
        <f>+J32-I32</f>
        <v>856.61699999999996</v>
      </c>
      <c r="I32" s="604">
        <v>115.483</v>
      </c>
      <c r="J32" s="604">
        <v>972.1</v>
      </c>
      <c r="K32" s="807">
        <f>+M32-L32</f>
        <v>547.64200000000005</v>
      </c>
      <c r="L32" s="604">
        <v>105.101</v>
      </c>
      <c r="M32" s="604">
        <v>652.74300000000005</v>
      </c>
      <c r="N32" s="807">
        <f>+P32-O32</f>
        <v>464.43599999999998</v>
      </c>
      <c r="O32" s="604">
        <v>171.565</v>
      </c>
      <c r="P32" s="604">
        <v>636.00099999999998</v>
      </c>
      <c r="Q32" s="1116">
        <f>+S32-R32</f>
        <v>382.10899999999998</v>
      </c>
      <c r="R32" s="1117">
        <v>95.638999999999996</v>
      </c>
      <c r="S32" s="1117">
        <v>477.74799999999999</v>
      </c>
      <c r="T32" s="1016">
        <f>+V32-U32</f>
        <v>412.55199999999996</v>
      </c>
      <c r="U32" s="1186">
        <v>87.891000000000005</v>
      </c>
      <c r="V32" s="1186">
        <v>500.44299999999998</v>
      </c>
      <c r="W32" s="1184"/>
    </row>
    <row r="33" spans="1:23" ht="21" customHeight="1" thickBot="1">
      <c r="A33" s="216"/>
      <c r="C33" s="1350"/>
      <c r="D33" s="743" t="s">
        <v>235</v>
      </c>
      <c r="E33" s="808">
        <f t="shared" ref="E33:S33" si="16">E32/E30</f>
        <v>2.4363515424240551E-2</v>
      </c>
      <c r="F33" s="809">
        <f t="shared" si="16"/>
        <v>4.0355454291712278E-3</v>
      </c>
      <c r="G33" s="809">
        <f t="shared" si="16"/>
        <v>1.5060153651892708E-2</v>
      </c>
      <c r="H33" s="808">
        <f t="shared" si="16"/>
        <v>2.4122775336965198E-2</v>
      </c>
      <c r="I33" s="809">
        <f t="shared" si="16"/>
        <v>3.8142330479448662E-3</v>
      </c>
      <c r="J33" s="809">
        <f t="shared" si="16"/>
        <v>1.4776346445358414E-2</v>
      </c>
      <c r="K33" s="808">
        <f t="shared" si="16"/>
        <v>1.5639366280708184E-2</v>
      </c>
      <c r="L33" s="809">
        <f t="shared" si="16"/>
        <v>3.3910703545544886E-3</v>
      </c>
      <c r="M33" s="809">
        <f t="shared" si="16"/>
        <v>9.8884946089742819E-3</v>
      </c>
      <c r="N33" s="808">
        <f t="shared" si="16"/>
        <v>1.3298008726012937E-2</v>
      </c>
      <c r="O33" s="809">
        <f t="shared" si="16"/>
        <v>5.4079414168942052E-3</v>
      </c>
      <c r="P33" s="809">
        <f t="shared" si="16"/>
        <v>9.5424192125205948E-3</v>
      </c>
      <c r="Q33" s="1118">
        <f t="shared" si="16"/>
        <v>1.1193203738166638E-2</v>
      </c>
      <c r="R33" s="1119">
        <f t="shared" si="16"/>
        <v>2.9669801500313685E-3</v>
      </c>
      <c r="S33" s="1119">
        <f t="shared" si="16"/>
        <v>7.1980300020570405E-3</v>
      </c>
      <c r="T33" s="1017">
        <f t="shared" ref="T33:V33" si="17">T32/T30</f>
        <v>1.1801209721826909E-2</v>
      </c>
      <c r="U33" s="1018">
        <f t="shared" si="17"/>
        <v>2.6564084346068083E-3</v>
      </c>
      <c r="V33" s="1018">
        <f t="shared" si="17"/>
        <v>7.3546047634197986E-3</v>
      </c>
      <c r="W33" s="1184"/>
    </row>
    <row r="34" spans="1:23">
      <c r="A34" s="216"/>
    </row>
    <row r="35" spans="1:23">
      <c r="A35" s="216"/>
      <c r="C35" s="506" t="s">
        <v>242</v>
      </c>
    </row>
    <row r="36" spans="1:23">
      <c r="A36" s="216"/>
    </row>
    <row r="37" spans="1:23">
      <c r="A37" s="216"/>
      <c r="C37" s="339"/>
    </row>
  </sheetData>
  <mergeCells count="14">
    <mergeCell ref="C1:BH1"/>
    <mergeCell ref="T4:V4"/>
    <mergeCell ref="C14:C17"/>
    <mergeCell ref="C18:C21"/>
    <mergeCell ref="Q4:S4"/>
    <mergeCell ref="E4:G4"/>
    <mergeCell ref="H4:J4"/>
    <mergeCell ref="K4:M4"/>
    <mergeCell ref="N4:P4"/>
    <mergeCell ref="C26:C29"/>
    <mergeCell ref="C30:C33"/>
    <mergeCell ref="C6:C9"/>
    <mergeCell ref="C10:C13"/>
    <mergeCell ref="C22:C25"/>
  </mergeCells>
  <phoneticPr fontId="2" type="noConversion"/>
  <pageMargins left="0" right="0" top="0.62992125984251968" bottom="0" header="0" footer="0"/>
  <pageSetup paperSize="9" scale="64" orientation="landscape" useFirstPageNumber="1" verticalDpi="0" r:id="rId1"/>
  <headerFooter>
    <oddHeader>&amp;R&amp;"Trebuchet MS,보통"&amp;12
www.wooribank.com</oddHeader>
    <oddFooter>&amp;R&amp;"Trebuchet MS,보통"Page 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showGridLines="0" view="pageBreakPreview" zoomScale="90" zoomScaleNormal="100" zoomScaleSheetLayoutView="90" workbookViewId="0">
      <selection activeCell="V7" sqref="V7"/>
    </sheetView>
  </sheetViews>
  <sheetFormatPr defaultRowHeight="15"/>
  <cols>
    <col min="1" max="1" width="16.7109375" style="468" customWidth="1"/>
    <col min="2" max="2" width="1.85546875" style="468" customWidth="1"/>
    <col min="3" max="3" width="2.28515625" style="468" customWidth="1"/>
    <col min="4" max="4" width="3" style="4" customWidth="1"/>
    <col min="5" max="5" width="24.7109375" style="4" customWidth="1"/>
    <col min="6" max="6" width="0.5703125" style="28" customWidth="1"/>
    <col min="7" max="7" width="4.7109375" style="28" customWidth="1"/>
    <col min="8" max="8" width="3" style="4" customWidth="1"/>
    <col min="9" max="9" width="2.28515625" style="4" customWidth="1"/>
    <col min="10" max="10" width="3" style="4" customWidth="1"/>
    <col min="11" max="11" width="24.7109375" style="4" customWidth="1"/>
    <col min="12" max="12" width="3.85546875" style="11" customWidth="1"/>
    <col min="13" max="13" width="1.42578125" style="11" customWidth="1"/>
    <col min="14" max="14" width="3" style="24" customWidth="1"/>
    <col min="15" max="15" width="2.28515625" style="24" customWidth="1"/>
    <col min="16" max="16" width="3" style="24" customWidth="1"/>
    <col min="17" max="17" width="26.140625" style="24" customWidth="1"/>
    <col min="18" max="18" width="4.28515625" style="11" customWidth="1"/>
    <col min="19" max="19" width="3" style="4" customWidth="1"/>
    <col min="20" max="20" width="2.28515625" style="4" customWidth="1"/>
    <col min="21" max="21" width="3" style="4" customWidth="1"/>
    <col min="22" max="22" width="22.7109375" style="4" customWidth="1"/>
    <col min="23" max="23" width="4.28515625" style="11" customWidth="1"/>
    <col min="24" max="24" width="2.28515625" style="4" customWidth="1"/>
    <col min="25" max="16384" width="9.140625" style="4"/>
  </cols>
  <sheetData>
    <row r="1" spans="1:24" s="466" customFormat="1" ht="38.25" customHeight="1">
      <c r="A1" s="859"/>
      <c r="B1" s="459"/>
      <c r="C1" s="459"/>
      <c r="D1" s="460" t="s">
        <v>18</v>
      </c>
      <c r="E1" s="461"/>
      <c r="F1" s="462"/>
      <c r="G1" s="462"/>
      <c r="H1" s="461"/>
      <c r="I1" s="461"/>
      <c r="J1" s="461"/>
      <c r="K1" s="461"/>
      <c r="L1" s="463"/>
      <c r="M1" s="463"/>
      <c r="N1" s="461"/>
      <c r="O1" s="461"/>
      <c r="P1" s="461"/>
      <c r="Q1" s="461"/>
      <c r="R1" s="463"/>
      <c r="S1" s="464"/>
      <c r="T1" s="464"/>
      <c r="U1" s="464"/>
      <c r="V1" s="464"/>
      <c r="W1" s="465"/>
    </row>
    <row r="2" spans="1:24" ht="9" customHeight="1">
      <c r="A2" s="467"/>
      <c r="R2" s="469"/>
    </row>
    <row r="3" spans="1:24" ht="41.25" customHeight="1">
      <c r="A3" s="467"/>
      <c r="D3" s="9"/>
      <c r="R3" s="469"/>
    </row>
    <row r="4" spans="1:24" ht="27" customHeight="1">
      <c r="A4" s="470"/>
      <c r="B4" s="471"/>
      <c r="C4" s="1278" t="s">
        <v>312</v>
      </c>
      <c r="D4" s="1278"/>
      <c r="E4" s="1278"/>
      <c r="F4" s="1278"/>
      <c r="G4" s="514"/>
      <c r="H4" s="515"/>
      <c r="I4" s="1278" t="s">
        <v>314</v>
      </c>
      <c r="J4" s="1278"/>
      <c r="K4" s="1278"/>
      <c r="L4" s="1278"/>
      <c r="M4" s="1278"/>
      <c r="N4" s="516"/>
      <c r="O4" s="1278" t="s">
        <v>315</v>
      </c>
      <c r="P4" s="1278"/>
      <c r="Q4" s="1278"/>
      <c r="R4" s="1278" t="s">
        <v>313</v>
      </c>
      <c r="S4" s="517"/>
      <c r="T4" s="1278" t="s">
        <v>134</v>
      </c>
      <c r="U4" s="1278"/>
      <c r="V4" s="1278"/>
      <c r="W4" s="1278"/>
      <c r="X4" s="8"/>
    </row>
    <row r="5" spans="1:24" ht="18" customHeight="1">
      <c r="A5" s="470"/>
      <c r="B5" s="471"/>
      <c r="C5" s="471"/>
      <c r="D5" s="22"/>
      <c r="E5" s="8"/>
      <c r="F5" s="16"/>
      <c r="G5" s="16"/>
      <c r="H5" s="8"/>
      <c r="I5" s="8"/>
      <c r="J5" s="8"/>
      <c r="K5" s="8"/>
      <c r="N5" s="4"/>
      <c r="O5" s="4"/>
      <c r="P5" s="8"/>
      <c r="Q5" s="8"/>
      <c r="R5" s="29"/>
      <c r="T5" s="22"/>
      <c r="U5" s="22"/>
      <c r="V5" s="22"/>
      <c r="W5" s="472"/>
      <c r="X5" s="8"/>
    </row>
    <row r="6" spans="1:24" ht="18" customHeight="1">
      <c r="A6" s="470"/>
      <c r="B6" s="471"/>
      <c r="C6" s="471"/>
      <c r="D6" s="667" t="s">
        <v>436</v>
      </c>
      <c r="E6" s="668"/>
      <c r="F6" s="669"/>
      <c r="G6" s="670"/>
      <c r="H6" s="2"/>
      <c r="I6" s="2"/>
      <c r="J6" s="667" t="s">
        <v>433</v>
      </c>
      <c r="K6" s="668"/>
      <c r="L6" s="669"/>
      <c r="M6" s="670"/>
      <c r="N6" s="3"/>
      <c r="O6" s="3"/>
      <c r="P6" s="667" t="s">
        <v>465</v>
      </c>
      <c r="Q6" s="668"/>
      <c r="R6" s="670"/>
      <c r="S6" s="3"/>
      <c r="T6" s="3"/>
      <c r="U6" s="667" t="s">
        <v>316</v>
      </c>
      <c r="V6" s="668"/>
      <c r="W6" s="670"/>
      <c r="X6" s="3"/>
    </row>
    <row r="7" spans="1:24" ht="18" customHeight="1">
      <c r="A7" s="470"/>
      <c r="D7" s="528"/>
      <c r="E7" s="663" t="s">
        <v>437</v>
      </c>
      <c r="F7" s="530"/>
      <c r="G7" s="12" t="s">
        <v>335</v>
      </c>
      <c r="H7" s="531"/>
      <c r="I7" s="531"/>
      <c r="J7" s="527"/>
      <c r="K7" s="529" t="s">
        <v>336</v>
      </c>
      <c r="L7" s="11" t="s">
        <v>367</v>
      </c>
      <c r="M7" s="533"/>
      <c r="N7" s="528"/>
      <c r="O7" s="528"/>
      <c r="P7" s="534"/>
      <c r="Q7" s="879" t="s">
        <v>467</v>
      </c>
      <c r="R7" s="16" t="s">
        <v>347</v>
      </c>
      <c r="S7" s="528"/>
      <c r="T7" s="528"/>
      <c r="U7" s="535"/>
      <c r="V7" s="765" t="s">
        <v>382</v>
      </c>
      <c r="W7" s="28" t="s">
        <v>10</v>
      </c>
      <c r="X7" s="528"/>
    </row>
    <row r="8" spans="1:24" ht="18" customHeight="1">
      <c r="A8" s="470"/>
      <c r="B8" s="475"/>
      <c r="C8" s="475"/>
      <c r="D8" s="528"/>
      <c r="E8" s="663" t="s">
        <v>438</v>
      </c>
      <c r="F8" s="530"/>
      <c r="G8" s="12" t="s">
        <v>337</v>
      </c>
      <c r="H8" s="530"/>
      <c r="I8" s="531"/>
      <c r="J8" s="537"/>
      <c r="K8" s="538"/>
      <c r="L8" s="539"/>
      <c r="M8" s="539"/>
      <c r="N8" s="528"/>
      <c r="O8" s="528"/>
      <c r="P8" s="534"/>
      <c r="Q8" s="879" t="s">
        <v>468</v>
      </c>
      <c r="R8" s="16" t="s">
        <v>464</v>
      </c>
      <c r="S8" s="540"/>
      <c r="T8" s="528"/>
      <c r="U8" s="527"/>
      <c r="V8" s="541"/>
      <c r="W8" s="532"/>
      <c r="X8" s="540"/>
    </row>
    <row r="9" spans="1:24" ht="18" customHeight="1">
      <c r="A9" s="470"/>
      <c r="B9" s="475"/>
      <c r="C9" s="475"/>
      <c r="D9" s="528"/>
      <c r="E9" s="473" t="s">
        <v>520</v>
      </c>
      <c r="F9" s="530"/>
      <c r="G9" s="642" t="s">
        <v>366</v>
      </c>
      <c r="H9" s="531"/>
      <c r="I9" s="531"/>
      <c r="J9" s="527"/>
      <c r="K9" s="543"/>
      <c r="L9" s="544"/>
      <c r="M9" s="544"/>
      <c r="N9" s="528"/>
      <c r="O9" s="528"/>
      <c r="P9" s="527"/>
      <c r="Q9" s="529"/>
      <c r="R9" s="532"/>
      <c r="S9" s="527"/>
      <c r="T9" s="528"/>
      <c r="U9" s="528"/>
      <c r="V9" s="541"/>
      <c r="W9" s="532"/>
      <c r="X9" s="534"/>
    </row>
    <row r="10" spans="1:24" ht="18" customHeight="1">
      <c r="A10" s="470"/>
      <c r="B10" s="475"/>
      <c r="C10" s="475"/>
      <c r="E10" s="473"/>
      <c r="F10" s="5"/>
      <c r="G10" s="6"/>
      <c r="H10" s="8"/>
      <c r="I10" s="8"/>
      <c r="J10" s="8"/>
      <c r="K10" s="8"/>
      <c r="N10" s="4"/>
      <c r="O10" s="7"/>
      <c r="P10" s="7"/>
      <c r="Q10" s="473"/>
      <c r="R10" s="14"/>
      <c r="S10" s="15"/>
      <c r="X10" s="8"/>
    </row>
    <row r="11" spans="1:24" s="3" customFormat="1" ht="18" customHeight="1">
      <c r="A11" s="477"/>
      <c r="B11" s="475"/>
      <c r="C11" s="4"/>
      <c r="D11" s="8"/>
      <c r="E11" s="16"/>
      <c r="F11" s="16"/>
      <c r="G11" s="8"/>
      <c r="H11" s="8"/>
      <c r="I11" s="8"/>
      <c r="J11" s="17"/>
      <c r="K11" s="17"/>
      <c r="L11" s="14"/>
      <c r="M11" s="14"/>
      <c r="P11" s="7"/>
      <c r="Q11" s="18"/>
      <c r="R11" s="14"/>
      <c r="S11" s="15"/>
      <c r="T11" s="4"/>
      <c r="U11" s="4"/>
      <c r="V11" s="4"/>
      <c r="W11" s="11"/>
    </row>
    <row r="12" spans="1:24" ht="18" customHeight="1">
      <c r="A12" s="470"/>
      <c r="B12" s="475"/>
      <c r="C12" s="475"/>
      <c r="D12" s="19"/>
      <c r="E12" s="19"/>
      <c r="F12" s="20"/>
      <c r="G12" s="20"/>
      <c r="H12" s="21"/>
      <c r="J12" s="667" t="s">
        <v>434</v>
      </c>
      <c r="K12" s="668"/>
      <c r="L12" s="669"/>
      <c r="M12" s="670"/>
      <c r="N12" s="4"/>
      <c r="O12" s="4"/>
      <c r="P12" s="667" t="s">
        <v>443</v>
      </c>
      <c r="Q12" s="668"/>
      <c r="R12" s="670"/>
      <c r="S12" s="22"/>
      <c r="U12" s="667" t="s">
        <v>396</v>
      </c>
      <c r="V12" s="668"/>
      <c r="W12" s="670"/>
      <c r="X12" s="8"/>
    </row>
    <row r="13" spans="1:24" ht="18" customHeight="1">
      <c r="A13" s="470"/>
      <c r="B13" s="471"/>
      <c r="C13" s="471"/>
      <c r="D13" s="7"/>
      <c r="E13" s="473"/>
      <c r="F13" s="5"/>
      <c r="G13" s="5"/>
      <c r="H13" s="21"/>
      <c r="I13" s="528"/>
      <c r="J13" s="545"/>
      <c r="K13" s="542" t="s">
        <v>338</v>
      </c>
      <c r="L13" s="640" t="s">
        <v>368</v>
      </c>
      <c r="M13" s="546"/>
      <c r="N13" s="528"/>
      <c r="O13" s="528"/>
      <c r="P13" s="547" t="s">
        <v>339</v>
      </c>
      <c r="Q13" s="666" t="s">
        <v>380</v>
      </c>
      <c r="R13" s="401" t="s">
        <v>372</v>
      </c>
      <c r="S13" s="548"/>
      <c r="T13" s="528"/>
      <c r="U13" s="527"/>
      <c r="V13" s="666" t="s">
        <v>398</v>
      </c>
      <c r="W13" s="401" t="s">
        <v>375</v>
      </c>
      <c r="X13" s="8"/>
    </row>
    <row r="14" spans="1:24" ht="18" customHeight="1">
      <c r="A14" s="470"/>
      <c r="D14" s="7"/>
      <c r="E14" s="473"/>
      <c r="F14" s="13"/>
      <c r="G14" s="13"/>
      <c r="H14" s="25"/>
      <c r="I14" s="528"/>
      <c r="J14" s="549"/>
      <c r="K14" s="542" t="s">
        <v>341</v>
      </c>
      <c r="L14" s="640" t="s">
        <v>369</v>
      </c>
      <c r="M14" s="550"/>
      <c r="N14" s="528"/>
      <c r="O14" s="528"/>
      <c r="P14" s="547"/>
      <c r="Q14" s="812" t="s">
        <v>402</v>
      </c>
      <c r="R14" s="401" t="s">
        <v>340</v>
      </c>
      <c r="S14" s="548"/>
      <c r="T14" s="528"/>
      <c r="U14" s="527"/>
      <c r="V14" s="829" t="s">
        <v>429</v>
      </c>
      <c r="W14" s="401" t="s">
        <v>466</v>
      </c>
      <c r="X14" s="479"/>
    </row>
    <row r="15" spans="1:24" s="3" customFormat="1" ht="18" customHeight="1">
      <c r="A15" s="477"/>
      <c r="B15" s="480"/>
      <c r="C15" s="480"/>
      <c r="D15" s="7"/>
      <c r="E15" s="473"/>
      <c r="F15" s="13"/>
      <c r="G15" s="13"/>
      <c r="I15" s="551"/>
      <c r="J15" s="552"/>
      <c r="K15" s="543" t="s">
        <v>343</v>
      </c>
      <c r="L15" s="641"/>
      <c r="M15" s="553"/>
      <c r="N15" s="551"/>
      <c r="O15" s="551"/>
      <c r="P15" s="547"/>
      <c r="Q15" s="766"/>
      <c r="R15" s="401"/>
      <c r="S15" s="548"/>
      <c r="T15" s="528"/>
      <c r="U15" s="528"/>
      <c r="V15" s="526"/>
      <c r="W15" s="401"/>
      <c r="X15" s="481"/>
    </row>
    <row r="16" spans="1:24" ht="18" customHeight="1">
      <c r="A16" s="470"/>
      <c r="B16" s="475"/>
      <c r="C16" s="475"/>
      <c r="E16" s="473"/>
      <c r="F16" s="16"/>
      <c r="G16" s="16"/>
      <c r="H16" s="8"/>
      <c r="I16" s="534"/>
      <c r="J16" s="534"/>
      <c r="K16" s="554" t="s">
        <v>344</v>
      </c>
      <c r="L16" s="640" t="s">
        <v>342</v>
      </c>
      <c r="M16" s="546"/>
      <c r="N16" s="528"/>
      <c r="O16" s="528"/>
      <c r="P16" s="551"/>
      <c r="Q16" s="555"/>
      <c r="R16" s="556"/>
      <c r="S16" s="557"/>
      <c r="T16" s="558"/>
      <c r="U16" s="527"/>
      <c r="V16" s="527"/>
      <c r="W16" s="559"/>
      <c r="X16" s="8"/>
    </row>
    <row r="17" spans="1:24" ht="18" customHeight="1">
      <c r="A17" s="470"/>
      <c r="B17" s="475"/>
      <c r="C17" s="475"/>
      <c r="E17" s="8"/>
      <c r="F17" s="16"/>
      <c r="G17" s="16"/>
      <c r="H17" s="8"/>
      <c r="I17" s="528"/>
      <c r="J17" s="560"/>
      <c r="K17" s="554" t="s">
        <v>345</v>
      </c>
      <c r="L17" s="640" t="s">
        <v>370</v>
      </c>
      <c r="M17" s="550"/>
      <c r="N17" s="528"/>
      <c r="O17" s="528"/>
      <c r="P17" s="551"/>
      <c r="Q17" s="561"/>
      <c r="R17" s="536"/>
      <c r="S17" s="548"/>
      <c r="T17" s="528"/>
      <c r="U17" s="537"/>
      <c r="V17" s="537"/>
      <c r="W17" s="562"/>
      <c r="X17" s="8"/>
    </row>
    <row r="18" spans="1:24" ht="18" customHeight="1">
      <c r="A18" s="470"/>
      <c r="B18" s="475"/>
      <c r="C18" s="475"/>
      <c r="D18" s="19"/>
      <c r="E18" s="19"/>
      <c r="F18" s="20"/>
      <c r="G18" s="20"/>
      <c r="K18" s="529" t="s">
        <v>346</v>
      </c>
      <c r="L18" s="16" t="s">
        <v>371</v>
      </c>
      <c r="N18" s="4"/>
      <c r="O18" s="4"/>
      <c r="P18" s="667" t="s">
        <v>435</v>
      </c>
      <c r="Q18" s="668"/>
      <c r="R18" s="670"/>
      <c r="U18" s="9"/>
      <c r="V18" s="9"/>
      <c r="W18" s="29"/>
      <c r="X18" s="8"/>
    </row>
    <row r="19" spans="1:24" ht="18" customHeight="1">
      <c r="A19" s="470"/>
      <c r="B19" s="475"/>
      <c r="C19" s="475"/>
      <c r="E19" s="473"/>
      <c r="G19" s="6"/>
      <c r="K19" s="473"/>
      <c r="N19" s="4"/>
      <c r="O19" s="4"/>
      <c r="P19" s="7"/>
      <c r="Q19" s="478" t="s">
        <v>378</v>
      </c>
      <c r="R19" s="401" t="s">
        <v>373</v>
      </c>
      <c r="S19" s="397"/>
      <c r="T19" s="397"/>
      <c r="U19" s="398"/>
      <c r="V19" s="478"/>
      <c r="W19" s="16"/>
      <c r="X19" s="8"/>
    </row>
    <row r="20" spans="1:24" s="3" customFormat="1" ht="18" customHeight="1">
      <c r="A20" s="477"/>
      <c r="B20" s="480"/>
      <c r="C20" s="480"/>
      <c r="D20" s="4"/>
      <c r="E20" s="473"/>
      <c r="F20" s="28"/>
      <c r="G20" s="28"/>
      <c r="J20" s="4"/>
      <c r="K20" s="23"/>
      <c r="L20" s="11"/>
      <c r="M20" s="11"/>
      <c r="N20" s="4"/>
      <c r="P20" s="7"/>
      <c r="Q20" s="767" t="s">
        <v>390</v>
      </c>
      <c r="R20" s="401" t="s">
        <v>374</v>
      </c>
      <c r="S20" s="399"/>
      <c r="T20" s="399"/>
      <c r="U20" s="398"/>
      <c r="V20" s="478"/>
      <c r="W20" s="26"/>
    </row>
    <row r="21" spans="1:24" ht="18" customHeight="1">
      <c r="A21" s="470"/>
      <c r="B21" s="475"/>
      <c r="C21" s="475"/>
      <c r="E21" s="473"/>
      <c r="K21" s="21"/>
      <c r="N21" s="4"/>
      <c r="O21" s="4"/>
      <c r="P21" s="4"/>
      <c r="Q21" s="767" t="s">
        <v>392</v>
      </c>
      <c r="R21" s="401" t="s">
        <v>8</v>
      </c>
      <c r="S21" s="399"/>
      <c r="T21" s="397"/>
      <c r="U21" s="399"/>
      <c r="V21" s="400"/>
      <c r="W21" s="28"/>
    </row>
    <row r="22" spans="1:24" ht="18" customHeight="1">
      <c r="A22" s="470"/>
      <c r="B22" s="475"/>
      <c r="C22" s="475"/>
      <c r="D22" s="23"/>
      <c r="E22" s="473"/>
      <c r="F22" s="16"/>
      <c r="G22" s="16"/>
      <c r="K22" s="21"/>
      <c r="N22" s="4"/>
      <c r="O22" s="4"/>
      <c r="P22" s="7"/>
      <c r="Q22" s="767" t="s">
        <v>391</v>
      </c>
      <c r="R22" s="401" t="s">
        <v>9</v>
      </c>
      <c r="S22" s="397"/>
      <c r="T22" s="397"/>
      <c r="U22" s="397"/>
      <c r="V22" s="397"/>
    </row>
    <row r="23" spans="1:24" ht="18" customHeight="1">
      <c r="A23" s="470"/>
      <c r="B23" s="475"/>
      <c r="C23" s="475"/>
      <c r="D23" s="23"/>
      <c r="E23" s="476"/>
      <c r="F23" s="16"/>
      <c r="G23" s="16"/>
      <c r="K23" s="21"/>
      <c r="N23" s="4"/>
      <c r="O23" s="4"/>
      <c r="P23" s="7"/>
      <c r="Q23" s="566"/>
      <c r="R23" s="401"/>
      <c r="S23" s="397"/>
      <c r="T23" s="397"/>
      <c r="U23" s="397"/>
      <c r="V23" s="397"/>
    </row>
    <row r="24" spans="1:24" ht="5.25" customHeight="1">
      <c r="A24" s="470"/>
      <c r="B24" s="475"/>
      <c r="C24" s="475"/>
      <c r="K24" s="474"/>
      <c r="N24" s="4"/>
      <c r="O24" s="4"/>
      <c r="P24" s="7"/>
      <c r="Q24" s="474"/>
    </row>
    <row r="25" spans="1:24" ht="25.5" customHeight="1">
      <c r="A25" s="470"/>
      <c r="B25" s="475"/>
      <c r="C25" s="482"/>
      <c r="N25" s="4"/>
      <c r="O25" s="4"/>
      <c r="P25" s="4"/>
      <c r="Q25" s="8"/>
    </row>
    <row r="26" spans="1:24" ht="25.5" customHeight="1">
      <c r="A26" s="470"/>
      <c r="B26" s="4"/>
      <c r="C26" s="4"/>
      <c r="N26" s="4"/>
      <c r="O26" s="4"/>
      <c r="P26" s="4"/>
      <c r="Q26" s="4"/>
    </row>
    <row r="27" spans="1:24" ht="18" customHeight="1">
      <c r="A27" s="470"/>
      <c r="B27" s="4"/>
      <c r="C27" s="4"/>
      <c r="E27" s="8"/>
      <c r="F27" s="16"/>
      <c r="G27" s="16"/>
      <c r="H27" s="8"/>
      <c r="I27" s="8"/>
      <c r="J27" s="8"/>
      <c r="K27" s="8"/>
      <c r="N27" s="4"/>
      <c r="O27" s="4"/>
      <c r="P27" s="4"/>
      <c r="Q27" s="4"/>
    </row>
    <row r="28" spans="1:24" ht="18" customHeight="1">
      <c r="A28" s="470"/>
      <c r="B28" s="475"/>
      <c r="C28" s="475"/>
      <c r="E28" s="8"/>
      <c r="F28" s="16"/>
      <c r="G28" s="16"/>
      <c r="H28" s="8"/>
      <c r="I28" s="8"/>
      <c r="J28" s="8"/>
      <c r="K28" s="8"/>
      <c r="N28" s="4"/>
      <c r="O28" s="4"/>
      <c r="P28" s="4"/>
      <c r="Q28" s="4"/>
    </row>
    <row r="29" spans="1:24" ht="18" customHeight="1">
      <c r="A29" s="467"/>
      <c r="E29" s="8"/>
      <c r="F29" s="16"/>
      <c r="G29" s="16"/>
      <c r="H29" s="8"/>
      <c r="I29" s="8"/>
      <c r="J29" s="8"/>
      <c r="K29" s="8"/>
      <c r="N29" s="4"/>
      <c r="O29" s="4"/>
      <c r="P29" s="4"/>
      <c r="Q29" s="4"/>
    </row>
    <row r="30" spans="1:24" ht="18" customHeight="1">
      <c r="A30" s="467"/>
      <c r="E30" s="8"/>
      <c r="F30" s="16"/>
      <c r="G30" s="16"/>
      <c r="H30" s="8"/>
      <c r="I30" s="8"/>
      <c r="J30" s="8"/>
      <c r="K30" s="8"/>
      <c r="N30" s="9"/>
      <c r="O30" s="9"/>
      <c r="P30" s="4"/>
      <c r="Q30" s="4"/>
    </row>
    <row r="31" spans="1:24">
      <c r="A31" s="920"/>
      <c r="N31" s="8"/>
      <c r="O31" s="8"/>
      <c r="P31" s="4"/>
      <c r="Q31" s="4"/>
    </row>
    <row r="32" spans="1:24">
      <c r="A32" s="920"/>
      <c r="N32" s="8"/>
      <c r="O32" s="8"/>
      <c r="P32" s="9"/>
      <c r="Q32" s="9"/>
    </row>
    <row r="33" spans="6:17">
      <c r="N33" s="8"/>
      <c r="O33" s="8"/>
      <c r="P33" s="8"/>
      <c r="Q33" s="8"/>
    </row>
    <row r="34" spans="6:17">
      <c r="P34" s="8"/>
      <c r="Q34" s="8"/>
    </row>
    <row r="35" spans="6:17">
      <c r="F35" s="4"/>
      <c r="G35" s="11"/>
      <c r="H35" s="11"/>
      <c r="I35" s="24"/>
      <c r="J35" s="24"/>
      <c r="K35" s="8"/>
      <c r="L35" s="8"/>
      <c r="N35" s="4"/>
      <c r="O35" s="4"/>
      <c r="P35" s="4"/>
      <c r="Q35" s="4"/>
    </row>
    <row r="36" spans="6:17">
      <c r="F36" s="4"/>
      <c r="G36" s="11"/>
      <c r="H36" s="11"/>
      <c r="I36" s="24"/>
      <c r="J36" s="24"/>
      <c r="K36" s="24"/>
      <c r="L36" s="24"/>
      <c r="N36" s="4"/>
      <c r="O36" s="4"/>
      <c r="P36" s="4"/>
      <c r="Q36" s="4"/>
    </row>
  </sheetData>
  <mergeCells count="4">
    <mergeCell ref="C4:F4"/>
    <mergeCell ref="I4:M4"/>
    <mergeCell ref="O4:R4"/>
    <mergeCell ref="T4:W4"/>
  </mergeCells>
  <phoneticPr fontId="2" type="noConversion"/>
  <hyperlinks>
    <hyperlink ref="U25" location="KAMCO!A1" display="KAMCO"/>
    <hyperlink ref="U27" location="'IR Officer'!A1" display="Woori Financial Group IR Officer Lists"/>
    <hyperlink ref="U29" location="'Synergy 1'!A1" display="Group Synergy"/>
    <hyperlink ref="E7" location="Group_BS!A1" display="□ 그룹 연결대차대조표"/>
    <hyperlink ref="E8" location="Group_IS!A1" display="□ 그룹 연결손익계산서"/>
    <hyperlink ref="K7" location="'Deposit Breakdown'!A1" display="□ 수신구성"/>
    <hyperlink ref="K13" location="'Loan Breakdown(Total Credit)'!A1" display="□ 차주별 총여신"/>
    <hyperlink ref="K14" location="'Loan Breakdown(Loans in KRW)'!A1" display="□ 차주별 원화대출금"/>
    <hyperlink ref="K16" location="'Loan Breakdown-1'!A1" display=" - 대기업, 중소기업"/>
    <hyperlink ref="K17" location="'Loan Breakdown-2'!A1" display=" - 가계, 공공/기타"/>
    <hyperlink ref="K18" location="'Loan Maturity2601'!A1" display="□ 여신 만기구조"/>
    <hyperlink ref="Q13" location="'Asset Quality-Group'!A1" display="□ 그룹 자산건전성"/>
    <hyperlink ref="Q19" location="'Asset Quality by Borrower'!A1" display="□ 차주별 자산건전성"/>
    <hyperlink ref="V7" location="'BIS Ratio'!A1" display="□ BIS 비율"/>
    <hyperlink ref="V13" location="'Woori Card'!A1" display="□ Woori Card"/>
    <hyperlink ref="V14" location="Card_AQ!A1" display="□ 자산건전성"/>
    <hyperlink ref="E9" location="'Group IS by Subsidiary'!A1" display="□ 회사별 손익구성"/>
    <hyperlink ref="Q7" location="'NIM(Bank+Card)'!A1" display="□ NIM (은행+카드)"/>
    <hyperlink ref="Q14" location="LLP!A1" display="□ 대손충당금 전입"/>
    <hyperlink ref="Q20" location="'Delinquency by Borrower'!A1" display="□ 차주별 연체율"/>
    <hyperlink ref="Q21" location="'Delinquency by Industry(Corp)'!A1" display="□ 기업여신의 산업별 연체"/>
    <hyperlink ref="Q22" location="'Delinquency by Industry(SME)'!A1" display="□ SME여신의 산업별 연체"/>
    <hyperlink ref="Q8" location="'NIM(Bank)'!A1" display="□ NIM/NIS (은행)"/>
  </hyperlinks>
  <pageMargins left="0.39370078740157483" right="0.23622047244094491" top="0.74803149606299213" bottom="0.74803149606299213" header="0.31496062992125984" footer="0.31496062992125984"/>
  <pageSetup paperSize="9" scale="78" orientation="landscape" r:id="rId1"/>
  <rowBreaks count="1" manualBreakCount="1">
    <brk id="30" max="2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tabSelected="1" view="pageBreakPreview" topLeftCell="B1" zoomScale="90" zoomScaleNormal="80" zoomScaleSheetLayoutView="90" workbookViewId="0">
      <selection activeCell="K22" sqref="K22"/>
    </sheetView>
  </sheetViews>
  <sheetFormatPr defaultColWidth="11.42578125" defaultRowHeight="18"/>
  <cols>
    <col min="1" max="1" width="18.7109375" style="344" customWidth="1"/>
    <col min="2" max="2" width="4.5703125" style="344" customWidth="1"/>
    <col min="3" max="3" width="49.7109375" style="351" customWidth="1"/>
    <col min="4" max="9" width="17.42578125" style="351" customWidth="1"/>
    <col min="10" max="10" width="5" style="344" customWidth="1"/>
    <col min="11" max="16384" width="11.42578125" style="344"/>
  </cols>
  <sheetData>
    <row r="1" spans="1:11" ht="30.75" customHeight="1">
      <c r="A1" s="824"/>
      <c r="B1" s="342"/>
      <c r="C1" s="628" t="s">
        <v>381</v>
      </c>
      <c r="D1" s="343"/>
      <c r="E1" s="343"/>
      <c r="F1" s="343"/>
      <c r="G1" s="343"/>
      <c r="H1" s="343"/>
      <c r="I1" s="343"/>
      <c r="J1" s="343"/>
    </row>
    <row r="2" spans="1:11" ht="7.5" customHeight="1">
      <c r="A2" s="345"/>
      <c r="B2" s="346"/>
      <c r="C2" s="347"/>
      <c r="D2" s="347"/>
      <c r="E2" s="347"/>
      <c r="F2" s="347"/>
      <c r="G2" s="347"/>
      <c r="H2" s="347"/>
      <c r="I2" s="347"/>
    </row>
    <row r="3" spans="1:11" ht="27" customHeight="1">
      <c r="A3" s="348"/>
      <c r="B3" s="346"/>
      <c r="C3" s="170"/>
      <c r="D3" s="349"/>
      <c r="E3" s="349"/>
      <c r="F3" s="349"/>
      <c r="G3" s="349"/>
      <c r="H3" s="349"/>
      <c r="I3" s="100"/>
    </row>
    <row r="4" spans="1:11" ht="11.25" customHeight="1">
      <c r="A4" s="350"/>
      <c r="D4" s="1355" t="s">
        <v>483</v>
      </c>
      <c r="E4" s="1355" t="s">
        <v>498</v>
      </c>
      <c r="F4" s="1355" t="s">
        <v>504</v>
      </c>
      <c r="G4" s="1355" t="s">
        <v>506</v>
      </c>
      <c r="H4" s="1355" t="s">
        <v>521</v>
      </c>
      <c r="I4" s="1357"/>
      <c r="J4" s="352"/>
    </row>
    <row r="5" spans="1:11" s="354" customFormat="1" ht="17.25" customHeight="1">
      <c r="A5" s="353"/>
      <c r="C5" s="507" t="s">
        <v>75</v>
      </c>
      <c r="D5" s="1356"/>
      <c r="E5" s="1356"/>
      <c r="F5" s="1356"/>
      <c r="G5" s="1356"/>
      <c r="H5" s="1356"/>
      <c r="I5" s="1357"/>
    </row>
    <row r="6" spans="1:11" s="354" customFormat="1" ht="7.5" customHeight="1">
      <c r="A6" s="353"/>
      <c r="D6" s="355"/>
      <c r="E6" s="355"/>
      <c r="F6" s="355"/>
      <c r="G6" s="355"/>
      <c r="H6" s="355"/>
      <c r="I6" s="355"/>
      <c r="J6" s="355"/>
      <c r="K6" s="355"/>
    </row>
    <row r="7" spans="1:11" s="357" customFormat="1" ht="21" customHeight="1">
      <c r="A7" s="356"/>
      <c r="C7" s="760" t="s">
        <v>245</v>
      </c>
      <c r="D7" s="524">
        <f>D8+D15</f>
        <v>16195.717999999999</v>
      </c>
      <c r="E7" s="524">
        <f>E8+E15</f>
        <v>16431.04</v>
      </c>
      <c r="F7" s="524">
        <f>F8+F15</f>
        <v>17196.47</v>
      </c>
      <c r="G7" s="524">
        <f>G8+G15</f>
        <v>18990.495999999999</v>
      </c>
      <c r="H7" s="1052">
        <f>H8+H15</f>
        <v>19075.399999999998</v>
      </c>
      <c r="I7" s="830"/>
    </row>
    <row r="8" spans="1:11" s="357" customFormat="1" ht="21" customHeight="1">
      <c r="A8" s="356"/>
      <c r="C8" s="762" t="s">
        <v>353</v>
      </c>
      <c r="D8" s="524">
        <f>SUM(D9:D14)</f>
        <v>13480.135999999999</v>
      </c>
      <c r="E8" s="524">
        <f>SUM(E9:E14)</f>
        <v>13713.254999999999</v>
      </c>
      <c r="F8" s="524">
        <f>SUM(F9:F14)</f>
        <v>13930.67</v>
      </c>
      <c r="G8" s="524">
        <v>15715</v>
      </c>
      <c r="H8" s="1052">
        <v>16087.8</v>
      </c>
      <c r="I8" s="830"/>
    </row>
    <row r="9" spans="1:11" s="357" customFormat="1" ht="21" customHeight="1">
      <c r="A9" s="356"/>
      <c r="C9" s="761" t="s">
        <v>246</v>
      </c>
      <c r="D9" s="521">
        <v>3381.3919999999998</v>
      </c>
      <c r="E9" s="521">
        <v>3381.3919999999998</v>
      </c>
      <c r="F9" s="521">
        <v>3381.3919999999998</v>
      </c>
      <c r="G9" s="521">
        <v>3381.3919999999998</v>
      </c>
      <c r="H9" s="972"/>
      <c r="I9" s="831"/>
    </row>
    <row r="10" spans="1:11" s="357" customFormat="1" ht="21" customHeight="1">
      <c r="A10" s="356"/>
      <c r="C10" s="761" t="s">
        <v>247</v>
      </c>
      <c r="D10" s="521">
        <v>269.53300000000002</v>
      </c>
      <c r="E10" s="521">
        <v>269.53300000000002</v>
      </c>
      <c r="F10" s="521">
        <v>269.53300000000002</v>
      </c>
      <c r="G10" s="521">
        <v>269.53300000000002</v>
      </c>
      <c r="H10" s="972"/>
      <c r="I10" s="831"/>
    </row>
    <row r="11" spans="1:11" s="357" customFormat="1" ht="21" customHeight="1">
      <c r="A11" s="356"/>
      <c r="C11" s="761" t="s">
        <v>430</v>
      </c>
      <c r="D11" s="521">
        <v>0</v>
      </c>
      <c r="E11" s="521">
        <v>0</v>
      </c>
      <c r="F11" s="521">
        <v>0</v>
      </c>
      <c r="G11" s="521">
        <v>0</v>
      </c>
      <c r="H11" s="972"/>
      <c r="I11" s="831"/>
    </row>
    <row r="12" spans="1:11" s="357" customFormat="1" ht="21" customHeight="1">
      <c r="A12" s="356"/>
      <c r="C12" s="761" t="s">
        <v>351</v>
      </c>
      <c r="D12" s="521">
        <v>11677.328</v>
      </c>
      <c r="E12" s="521">
        <v>11939.757</v>
      </c>
      <c r="F12" s="521">
        <v>12259.441000000001</v>
      </c>
      <c r="G12" s="521">
        <v>14611.566000000001</v>
      </c>
      <c r="H12" s="972"/>
      <c r="I12" s="831"/>
    </row>
    <row r="13" spans="1:11" s="357" customFormat="1" ht="21" customHeight="1">
      <c r="A13" s="356"/>
      <c r="C13" s="761" t="s">
        <v>248</v>
      </c>
      <c r="D13" s="521">
        <f>-1430.827+16.298</f>
        <v>-1414.529</v>
      </c>
      <c r="E13" s="521">
        <f>-1450.06+15.647</f>
        <v>-1434.413</v>
      </c>
      <c r="F13" s="521">
        <v>-1539.8820000000001</v>
      </c>
      <c r="G13" s="521">
        <f>-1417.115+21.972</f>
        <v>-1395.143</v>
      </c>
      <c r="H13" s="972"/>
      <c r="I13" s="831"/>
    </row>
    <row r="14" spans="1:11" s="361" customFormat="1" ht="21" customHeight="1">
      <c r="A14" s="360"/>
      <c r="C14" s="761" t="s">
        <v>352</v>
      </c>
      <c r="D14" s="521">
        <v>-433.58800000000002</v>
      </c>
      <c r="E14" s="521">
        <v>-443.01400000000001</v>
      </c>
      <c r="F14" s="521">
        <v>-439.81400000000002</v>
      </c>
      <c r="G14" s="521">
        <v>-1152.8679999999999</v>
      </c>
      <c r="H14" s="972"/>
      <c r="I14" s="831"/>
    </row>
    <row r="15" spans="1:11" s="357" customFormat="1" ht="21" customHeight="1">
      <c r="A15" s="356"/>
      <c r="C15" s="762" t="s">
        <v>354</v>
      </c>
      <c r="D15" s="524">
        <v>2715.5819999999999</v>
      </c>
      <c r="E15" s="524">
        <v>2717.7849999999999</v>
      </c>
      <c r="F15" s="524">
        <v>3265.8</v>
      </c>
      <c r="G15" s="524">
        <v>3275.4960000000001</v>
      </c>
      <c r="H15" s="1052">
        <v>2987.6</v>
      </c>
      <c r="I15" s="830"/>
    </row>
    <row r="16" spans="1:11" s="357" customFormat="1" ht="21" customHeight="1">
      <c r="A16" s="356"/>
      <c r="C16" s="761" t="s">
        <v>431</v>
      </c>
      <c r="D16" s="521">
        <f>954.797+1727.522</f>
        <v>2682.319</v>
      </c>
      <c r="E16" s="521">
        <f>954.797+1727.522</f>
        <v>2682.319</v>
      </c>
      <c r="F16" s="521">
        <v>3232.2240000000002</v>
      </c>
      <c r="G16" s="521">
        <v>3232.2240000000002</v>
      </c>
      <c r="H16" s="972"/>
      <c r="I16" s="831"/>
    </row>
    <row r="17" spans="1:10" s="361" customFormat="1" ht="21" customHeight="1">
      <c r="A17" s="360"/>
      <c r="C17" s="761" t="s">
        <v>355</v>
      </c>
      <c r="D17" s="521">
        <v>33.262999999999998</v>
      </c>
      <c r="E17" s="521">
        <v>35.466000000000001</v>
      </c>
      <c r="F17" s="521">
        <v>33.573999999999998</v>
      </c>
      <c r="G17" s="521">
        <v>43.271999999999998</v>
      </c>
      <c r="H17" s="972"/>
      <c r="I17" s="831"/>
    </row>
    <row r="18" spans="1:10" s="357" customFormat="1" ht="21" customHeight="1">
      <c r="A18" s="356"/>
      <c r="C18" s="762" t="s">
        <v>249</v>
      </c>
      <c r="D18" s="524">
        <v>4844.9110000000001</v>
      </c>
      <c r="E18" s="524">
        <v>4865.8810000000003</v>
      </c>
      <c r="F18" s="524">
        <v>4762.5</v>
      </c>
      <c r="G18" s="524">
        <v>3910.5129999999999</v>
      </c>
      <c r="H18" s="1052">
        <v>3409.4</v>
      </c>
      <c r="I18" s="830"/>
    </row>
    <row r="19" spans="1:10" s="361" customFormat="1" ht="21" customHeight="1">
      <c r="A19" s="360"/>
      <c r="C19" s="761" t="s">
        <v>432</v>
      </c>
      <c r="D19" s="521">
        <f>1403.5+2272.815</f>
        <v>3676.3150000000001</v>
      </c>
      <c r="E19" s="521">
        <f>1414.7+2276.698</f>
        <v>3691.3980000000001</v>
      </c>
      <c r="F19" s="521">
        <v>3599.2829999999999</v>
      </c>
      <c r="G19" s="521">
        <v>3750.3829999999998</v>
      </c>
      <c r="H19" s="972"/>
      <c r="I19" s="831"/>
    </row>
    <row r="20" spans="1:10" s="361" customFormat="1" ht="21" customHeight="1">
      <c r="A20" s="360"/>
      <c r="C20" s="761" t="s">
        <v>250</v>
      </c>
      <c r="D20" s="523">
        <v>571.00900000000001</v>
      </c>
      <c r="E20" s="523">
        <v>572.31600000000003</v>
      </c>
      <c r="F20" s="523">
        <v>570.21400000000006</v>
      </c>
      <c r="G20" s="523">
        <v>144.83699999999999</v>
      </c>
      <c r="H20" s="973"/>
      <c r="I20" s="831"/>
    </row>
    <row r="21" spans="1:10" s="361" customFormat="1" ht="21" customHeight="1" thickBot="1">
      <c r="A21" s="360"/>
      <c r="C21" s="763" t="s">
        <v>251</v>
      </c>
      <c r="D21" s="525">
        <f>D8+D15+D18</f>
        <v>21040.629000000001</v>
      </c>
      <c r="E21" s="525">
        <f>E8+E15+E18</f>
        <v>21296.921000000002</v>
      </c>
      <c r="F21" s="525">
        <f>F8+F15+F18</f>
        <v>21958.97</v>
      </c>
      <c r="G21" s="525">
        <v>22900.5</v>
      </c>
      <c r="H21" s="1267">
        <f>H8+H15+H18</f>
        <v>22484.799999999999</v>
      </c>
      <c r="I21" s="830"/>
    </row>
    <row r="22" spans="1:10" s="357" customFormat="1" ht="21" customHeight="1">
      <c r="A22" s="356"/>
      <c r="C22" s="451"/>
      <c r="D22" s="362"/>
      <c r="E22" s="362"/>
      <c r="F22" s="362"/>
      <c r="G22" s="362"/>
      <c r="H22" s="362"/>
      <c r="I22" s="362"/>
    </row>
    <row r="23" spans="1:10" s="361" customFormat="1" ht="21" customHeight="1" thickBot="1">
      <c r="A23" s="360"/>
      <c r="C23" s="763" t="s">
        <v>252</v>
      </c>
      <c r="D23" s="525">
        <v>155321.47</v>
      </c>
      <c r="E23" s="525">
        <v>155773.17000000001</v>
      </c>
      <c r="F23" s="525">
        <v>153483.228</v>
      </c>
      <c r="G23" s="525">
        <v>149728.1</v>
      </c>
      <c r="H23" s="1267">
        <v>149788.29999999999</v>
      </c>
      <c r="I23" s="974"/>
    </row>
    <row r="24" spans="1:10" s="361" customFormat="1" ht="21" customHeight="1">
      <c r="A24" s="360"/>
      <c r="C24" s="451"/>
      <c r="D24" s="412"/>
      <c r="E24" s="412"/>
      <c r="F24" s="412"/>
      <c r="G24" s="1120"/>
      <c r="H24" s="975"/>
      <c r="I24" s="976"/>
      <c r="J24" s="363"/>
    </row>
    <row r="25" spans="1:10" s="361" customFormat="1" ht="27" customHeight="1">
      <c r="A25" s="360"/>
      <c r="C25" s="762" t="s">
        <v>357</v>
      </c>
      <c r="D25" s="1268">
        <f>D8/D23*100</f>
        <v>8.6788619757461731</v>
      </c>
      <c r="E25" s="1268">
        <f>E8/E23*100</f>
        <v>8.8033484842094438</v>
      </c>
      <c r="F25" s="1268">
        <f>F8/F23*100</f>
        <v>9.0763467653938061</v>
      </c>
      <c r="G25" s="1268">
        <f>G8/G23*100</f>
        <v>10.495691857440253</v>
      </c>
      <c r="H25" s="1269">
        <f>H8/H23*100</f>
        <v>10.740358225575697</v>
      </c>
      <c r="I25" s="1270">
        <v>11.72</v>
      </c>
      <c r="J25" s="286" t="s">
        <v>14</v>
      </c>
    </row>
    <row r="26" spans="1:10" s="361" customFormat="1" ht="27" customHeight="1">
      <c r="A26" s="360"/>
      <c r="C26" s="764" t="s">
        <v>253</v>
      </c>
      <c r="D26" s="1271">
        <f>D7/D23*100</f>
        <v>10.427224259466511</v>
      </c>
      <c r="E26" s="1271">
        <f>E7/E23*100</f>
        <v>10.54805522671202</v>
      </c>
      <c r="F26" s="1271">
        <f>F7/F23*100</f>
        <v>11.204136259109692</v>
      </c>
      <c r="G26" s="1271">
        <f>G7/G23*100</f>
        <v>12.683321300410544</v>
      </c>
      <c r="H26" s="1272">
        <f>H7/H23*100</f>
        <v>12.734906531418009</v>
      </c>
      <c r="I26" s="1273">
        <v>13.9</v>
      </c>
      <c r="J26" s="286" t="s">
        <v>14</v>
      </c>
    </row>
    <row r="27" spans="1:10" s="361" customFormat="1" ht="27" customHeight="1" thickBot="1">
      <c r="A27" s="360"/>
      <c r="C27" s="763" t="s">
        <v>356</v>
      </c>
      <c r="D27" s="1274">
        <f>D21/D23*100</f>
        <v>13.546503905738208</v>
      </c>
      <c r="E27" s="1274">
        <f>E21/E23*100</f>
        <v>13.671751688689394</v>
      </c>
      <c r="F27" s="1274">
        <f>F21/F23*100</f>
        <v>14.307081161988592</v>
      </c>
      <c r="G27" s="1274">
        <f>G21/G23*100</f>
        <v>15.294724236799906</v>
      </c>
      <c r="H27" s="1275">
        <f>H21/H23*100</f>
        <v>15.011052265096808</v>
      </c>
      <c r="I27" s="1276">
        <v>16.38</v>
      </c>
      <c r="J27" s="286" t="s">
        <v>14</v>
      </c>
    </row>
    <row r="28" spans="1:10" s="365" customFormat="1" ht="12">
      <c r="A28" s="364"/>
      <c r="C28" s="341"/>
    </row>
    <row r="29" spans="1:10" ht="12.75" customHeight="1">
      <c r="A29" s="350"/>
      <c r="C29" s="428" t="s">
        <v>400</v>
      </c>
      <c r="D29" s="366"/>
      <c r="E29" s="366"/>
      <c r="F29" s="366"/>
      <c r="G29" s="366"/>
      <c r="H29" s="366"/>
      <c r="I29" s="366"/>
    </row>
    <row r="30" spans="1:10" ht="12.75" customHeight="1">
      <c r="A30" s="350"/>
      <c r="C30" s="428" t="s">
        <v>541</v>
      </c>
      <c r="D30" s="366"/>
      <c r="E30" s="366"/>
      <c r="F30" s="366"/>
      <c r="G30" s="366"/>
      <c r="H30" s="366"/>
      <c r="I30" s="366"/>
    </row>
    <row r="31" spans="1:10" ht="12.75" customHeight="1">
      <c r="A31" s="350"/>
      <c r="C31" s="428" t="s">
        <v>450</v>
      </c>
      <c r="D31" s="366"/>
      <c r="E31" s="366"/>
      <c r="F31" s="366"/>
      <c r="G31" s="366"/>
      <c r="H31" s="366"/>
      <c r="I31" s="366"/>
    </row>
    <row r="32" spans="1:10" ht="12" customHeight="1">
      <c r="A32" s="350"/>
      <c r="D32" s="367"/>
      <c r="E32" s="367"/>
      <c r="F32" s="367"/>
      <c r="G32" s="367"/>
      <c r="H32" s="367"/>
      <c r="I32" s="367"/>
    </row>
    <row r="33" spans="1:9">
      <c r="A33" s="350"/>
    </row>
    <row r="34" spans="1:9" ht="18.75">
      <c r="A34" s="350"/>
      <c r="C34" s="367"/>
      <c r="D34" s="367"/>
      <c r="E34" s="367"/>
      <c r="F34" s="367"/>
      <c r="G34" s="367"/>
      <c r="H34" s="367"/>
      <c r="I34" s="367"/>
    </row>
    <row r="35" spans="1:9">
      <c r="A35" s="350"/>
    </row>
    <row r="36" spans="1:9">
      <c r="A36" s="350"/>
    </row>
    <row r="37" spans="1:9">
      <c r="A37" s="350"/>
    </row>
    <row r="38" spans="1:9" ht="18.75">
      <c r="A38" s="350"/>
      <c r="C38" s="367"/>
      <c r="D38" s="367"/>
      <c r="E38" s="367"/>
      <c r="F38" s="367"/>
      <c r="G38" s="367"/>
      <c r="H38" s="367"/>
      <c r="I38" s="367"/>
    </row>
    <row r="39" spans="1:9">
      <c r="A39" s="350"/>
    </row>
    <row r="40" spans="1:9">
      <c r="A40" s="350"/>
    </row>
    <row r="41" spans="1:9">
      <c r="A41" s="350"/>
    </row>
    <row r="42" spans="1:9" ht="18.75">
      <c r="A42" s="350"/>
      <c r="C42" s="368"/>
      <c r="D42" s="368"/>
      <c r="E42" s="368"/>
      <c r="F42" s="368"/>
      <c r="G42" s="368"/>
      <c r="H42" s="368"/>
      <c r="I42" s="368"/>
    </row>
    <row r="43" spans="1:9">
      <c r="A43" s="350"/>
    </row>
    <row r="44" spans="1:9">
      <c r="A44" s="350"/>
    </row>
    <row r="45" spans="1:9">
      <c r="A45" s="350"/>
    </row>
    <row r="46" spans="1:9">
      <c r="A46" s="350"/>
      <c r="C46" s="369"/>
    </row>
    <row r="47" spans="1:9">
      <c r="A47" s="350"/>
    </row>
    <row r="50" spans="3:9" ht="14.25">
      <c r="C50" s="344"/>
      <c r="D50" s="370"/>
      <c r="E50" s="370"/>
      <c r="F50" s="370"/>
      <c r="G50" s="370"/>
      <c r="H50" s="370"/>
      <c r="I50" s="370"/>
    </row>
    <row r="51" spans="3:9" ht="14.25">
      <c r="C51" s="344"/>
      <c r="D51" s="371"/>
      <c r="E51" s="371"/>
      <c r="F51" s="371"/>
      <c r="G51" s="371"/>
      <c r="H51" s="371"/>
      <c r="I51" s="371"/>
    </row>
    <row r="52" spans="3:9">
      <c r="C52" s="344"/>
      <c r="D52" s="372"/>
      <c r="E52" s="372"/>
      <c r="F52" s="372"/>
      <c r="G52" s="372"/>
      <c r="H52" s="372"/>
      <c r="I52" s="372"/>
    </row>
  </sheetData>
  <mergeCells count="6">
    <mergeCell ref="D4:D5"/>
    <mergeCell ref="F4:F5"/>
    <mergeCell ref="I4:I5"/>
    <mergeCell ref="H4:H5"/>
    <mergeCell ref="G4:G5"/>
    <mergeCell ref="E4:E5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verticalDpi="0" r:id="rId1"/>
  <headerFooter>
    <oddHeader>&amp;R&amp;"Trebuchet MS,보통"&amp;12
www.wooribank.com</oddHeader>
    <oddFooter xml:space="preserve">&amp;R&amp;"Trebuchet MS,보통"Page  19
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zoomScale="80" zoomScaleNormal="70" zoomScaleSheetLayoutView="80" workbookViewId="0">
      <selection activeCell="K20" sqref="K20"/>
    </sheetView>
  </sheetViews>
  <sheetFormatPr defaultRowHeight="18"/>
  <cols>
    <col min="1" max="1" width="18.7109375" style="344" customWidth="1"/>
    <col min="2" max="2" width="4.5703125" style="344" customWidth="1"/>
    <col min="3" max="3" width="27" style="351" customWidth="1"/>
    <col min="4" max="5" width="18.5703125" style="351" customWidth="1"/>
    <col min="6" max="6" width="5.42578125" style="351" customWidth="1"/>
    <col min="7" max="7" width="31.28515625" style="351" customWidth="1"/>
    <col min="8" max="10" width="22.140625" style="351" customWidth="1"/>
    <col min="11" max="11" width="11.42578125" style="351" customWidth="1"/>
    <col min="12" max="16384" width="9.140625" style="344"/>
  </cols>
  <sheetData>
    <row r="1" spans="1:12" ht="30.75" customHeight="1">
      <c r="A1" s="828"/>
      <c r="B1" s="452"/>
      <c r="C1" s="630" t="s">
        <v>397</v>
      </c>
      <c r="D1" s="334"/>
      <c r="E1" s="334"/>
      <c r="F1" s="334"/>
      <c r="G1" s="334"/>
      <c r="H1" s="334"/>
      <c r="I1" s="334"/>
      <c r="J1" s="334"/>
      <c r="K1" s="334"/>
    </row>
    <row r="2" spans="1:12" ht="7.5" customHeight="1">
      <c r="A2" s="345"/>
      <c r="B2" s="346"/>
      <c r="C2" s="349"/>
      <c r="D2" s="349"/>
      <c r="E2" s="349"/>
      <c r="F2" s="349"/>
      <c r="G2" s="349"/>
      <c r="H2" s="349"/>
      <c r="I2" s="349"/>
      <c r="J2" s="349"/>
      <c r="K2" s="349"/>
    </row>
    <row r="3" spans="1:12" ht="27" customHeight="1">
      <c r="A3" s="348"/>
      <c r="B3" s="346"/>
      <c r="C3" s="170"/>
      <c r="D3" s="349"/>
      <c r="E3" s="349"/>
      <c r="F3" s="349"/>
      <c r="G3" s="170"/>
      <c r="H3" s="349"/>
      <c r="I3" s="349"/>
      <c r="J3" s="349"/>
      <c r="K3" s="349"/>
    </row>
    <row r="4" spans="1:12" ht="27" customHeight="1">
      <c r="A4" s="348"/>
      <c r="B4" s="346"/>
      <c r="C4" s="818" t="s">
        <v>422</v>
      </c>
      <c r="D4" s="349"/>
      <c r="E4" s="349"/>
      <c r="F4" s="349"/>
      <c r="G4" s="37" t="s">
        <v>423</v>
      </c>
      <c r="H4" s="349"/>
      <c r="I4" s="349"/>
      <c r="J4" s="349"/>
      <c r="K4" s="349"/>
    </row>
    <row r="5" spans="1:12" s="346" customFormat="1" ht="17.25" customHeight="1">
      <c r="A5" s="345"/>
      <c r="C5" s="404"/>
      <c r="D5" s="1357"/>
      <c r="E5" s="1357"/>
      <c r="F5" s="1357"/>
      <c r="G5" s="404"/>
      <c r="H5" s="1357"/>
      <c r="I5" s="1357"/>
      <c r="J5" s="411"/>
      <c r="K5" s="411"/>
      <c r="L5" s="453"/>
    </row>
    <row r="6" spans="1:12" s="354" customFormat="1" ht="17.25" customHeight="1">
      <c r="A6" s="353"/>
      <c r="C6" s="450" t="s">
        <v>254</v>
      </c>
      <c r="D6" s="373" t="s">
        <v>506</v>
      </c>
      <c r="E6" s="373" t="s">
        <v>543</v>
      </c>
      <c r="F6" s="1357"/>
      <c r="G6" s="450" t="s">
        <v>254</v>
      </c>
      <c r="H6" s="373" t="s">
        <v>506</v>
      </c>
      <c r="I6" s="373" t="s">
        <v>512</v>
      </c>
      <c r="J6" s="373" t="s">
        <v>544</v>
      </c>
      <c r="K6" s="413"/>
    </row>
    <row r="7" spans="1:12" s="357" customFormat="1" ht="20.25" customHeight="1">
      <c r="A7" s="356"/>
      <c r="C7" s="744" t="s">
        <v>263</v>
      </c>
      <c r="D7" s="359">
        <v>350142</v>
      </c>
      <c r="E7" s="359">
        <v>350690</v>
      </c>
      <c r="F7" s="412"/>
      <c r="G7" s="749" t="s">
        <v>73</v>
      </c>
      <c r="H7" s="524">
        <v>20321</v>
      </c>
      <c r="I7" s="524">
        <v>143673</v>
      </c>
      <c r="J7" s="524">
        <v>38875</v>
      </c>
      <c r="K7" s="412"/>
    </row>
    <row r="8" spans="1:12" s="357" customFormat="1" ht="20.25" customHeight="1">
      <c r="A8" s="356"/>
      <c r="C8" s="744" t="s">
        <v>264</v>
      </c>
      <c r="D8" s="359">
        <v>0</v>
      </c>
      <c r="E8" s="359">
        <v>0</v>
      </c>
      <c r="F8" s="412"/>
      <c r="G8" s="750" t="s">
        <v>284</v>
      </c>
      <c r="H8" s="521">
        <v>112129</v>
      </c>
      <c r="I8" s="521">
        <v>428096</v>
      </c>
      <c r="J8" s="521">
        <v>110127</v>
      </c>
      <c r="K8" s="412"/>
    </row>
    <row r="9" spans="1:12" s="357" customFormat="1" ht="20.25" customHeight="1">
      <c r="A9" s="356"/>
      <c r="C9" s="744" t="s">
        <v>265</v>
      </c>
      <c r="D9" s="359">
        <v>81614</v>
      </c>
      <c r="E9" s="359">
        <v>82904</v>
      </c>
      <c r="F9" s="412"/>
      <c r="G9" s="750" t="s">
        <v>285</v>
      </c>
      <c r="H9" s="522">
        <v>145071</v>
      </c>
      <c r="I9" s="522">
        <v>556681</v>
      </c>
      <c r="J9" s="522">
        <v>142436</v>
      </c>
      <c r="K9" s="412"/>
      <c r="L9" s="454"/>
    </row>
    <row r="10" spans="1:12" s="357" customFormat="1" ht="20.25" customHeight="1">
      <c r="A10" s="356"/>
      <c r="C10" s="744" t="s">
        <v>266</v>
      </c>
      <c r="D10" s="359">
        <v>7099050</v>
      </c>
      <c r="E10" s="359">
        <v>7190250</v>
      </c>
      <c r="F10" s="412"/>
      <c r="G10" s="751" t="s">
        <v>519</v>
      </c>
      <c r="H10" s="522">
        <v>32942</v>
      </c>
      <c r="I10" s="522">
        <v>128586</v>
      </c>
      <c r="J10" s="522">
        <v>32309</v>
      </c>
      <c r="K10" s="412"/>
    </row>
    <row r="11" spans="1:12" s="357" customFormat="1" ht="20.25" customHeight="1">
      <c r="A11" s="356"/>
      <c r="C11" s="744" t="s">
        <v>267</v>
      </c>
      <c r="D11" s="359">
        <v>17426</v>
      </c>
      <c r="E11" s="359">
        <v>18574</v>
      </c>
      <c r="F11" s="412"/>
      <c r="G11" s="750" t="s">
        <v>286</v>
      </c>
      <c r="H11" s="521">
        <v>9413</v>
      </c>
      <c r="I11" s="521">
        <v>47430</v>
      </c>
      <c r="J11" s="521">
        <v>7201</v>
      </c>
      <c r="K11" s="412"/>
    </row>
    <row r="12" spans="1:12" s="357" customFormat="1" ht="20.25" customHeight="1">
      <c r="A12" s="356"/>
      <c r="C12" s="744" t="s">
        <v>268</v>
      </c>
      <c r="D12" s="359">
        <v>24649</v>
      </c>
      <c r="E12" s="359">
        <v>27464</v>
      </c>
      <c r="F12" s="412"/>
      <c r="G12" s="751" t="s">
        <v>287</v>
      </c>
      <c r="H12" s="522">
        <v>254719</v>
      </c>
      <c r="I12" s="522">
        <v>953393</v>
      </c>
      <c r="J12" s="522">
        <v>257611</v>
      </c>
      <c r="K12" s="412"/>
    </row>
    <row r="13" spans="1:12" s="357" customFormat="1" ht="20.25" customHeight="1">
      <c r="A13" s="356"/>
      <c r="C13" s="744" t="s">
        <v>269</v>
      </c>
      <c r="D13" s="359">
        <v>3060</v>
      </c>
      <c r="E13" s="359">
        <v>7330</v>
      </c>
      <c r="F13" s="412"/>
      <c r="G13" s="751" t="s">
        <v>288</v>
      </c>
      <c r="H13" s="522">
        <v>245306</v>
      </c>
      <c r="I13" s="522">
        <v>905963</v>
      </c>
      <c r="J13" s="522">
        <v>250410</v>
      </c>
      <c r="K13" s="412"/>
    </row>
    <row r="14" spans="1:12" s="357" customFormat="1" ht="20.25" customHeight="1">
      <c r="A14" s="356"/>
      <c r="C14" s="744" t="s">
        <v>270</v>
      </c>
      <c r="D14" s="359">
        <v>30167</v>
      </c>
      <c r="E14" s="359">
        <v>29184</v>
      </c>
      <c r="F14" s="412"/>
      <c r="G14" s="750" t="s">
        <v>289</v>
      </c>
      <c r="H14" s="522">
        <v>1920</v>
      </c>
      <c r="I14" s="522">
        <v>12485</v>
      </c>
      <c r="J14" s="522">
        <v>8601</v>
      </c>
      <c r="K14" s="412"/>
    </row>
    <row r="15" spans="1:12" s="361" customFormat="1" ht="20.25" customHeight="1">
      <c r="A15" s="360"/>
      <c r="C15" s="745" t="s">
        <v>271</v>
      </c>
      <c r="D15" s="358">
        <v>7606108</v>
      </c>
      <c r="E15" s="358">
        <v>7706396</v>
      </c>
      <c r="F15" s="412"/>
      <c r="G15" s="750" t="s">
        <v>290</v>
      </c>
      <c r="H15" s="522">
        <v>142</v>
      </c>
      <c r="I15" s="522">
        <v>880</v>
      </c>
      <c r="J15" s="522">
        <v>0</v>
      </c>
      <c r="K15" s="412"/>
    </row>
    <row r="16" spans="1:12" s="361" customFormat="1" ht="20.25" customHeight="1">
      <c r="A16" s="360"/>
      <c r="C16" s="746" t="s">
        <v>272</v>
      </c>
      <c r="D16" s="359">
        <v>0</v>
      </c>
      <c r="E16" s="359">
        <v>0</v>
      </c>
      <c r="F16" s="412"/>
      <c r="G16" s="750" t="s">
        <v>291</v>
      </c>
      <c r="H16" s="522">
        <v>5</v>
      </c>
      <c r="I16" s="522">
        <v>321</v>
      </c>
      <c r="J16" s="522">
        <v>255</v>
      </c>
      <c r="K16" s="412"/>
    </row>
    <row r="17" spans="1:11" s="357" customFormat="1" ht="20.25" customHeight="1">
      <c r="A17" s="356"/>
      <c r="C17" s="746" t="s">
        <v>273</v>
      </c>
      <c r="D17" s="359">
        <v>5317130</v>
      </c>
      <c r="E17" s="359">
        <v>5374548</v>
      </c>
      <c r="F17" s="412"/>
      <c r="G17" s="750" t="s">
        <v>292</v>
      </c>
      <c r="H17" s="522">
        <v>0</v>
      </c>
      <c r="I17" s="522">
        <v>0</v>
      </c>
      <c r="J17" s="522">
        <v>0</v>
      </c>
      <c r="K17" s="412"/>
    </row>
    <row r="18" spans="1:11" s="357" customFormat="1" ht="20.25" customHeight="1">
      <c r="A18" s="356"/>
      <c r="C18" s="746" t="s">
        <v>274</v>
      </c>
      <c r="D18" s="359">
        <v>45542</v>
      </c>
      <c r="E18" s="359">
        <v>42607</v>
      </c>
      <c r="F18" s="412"/>
      <c r="G18" s="750" t="s">
        <v>293</v>
      </c>
      <c r="H18" s="522">
        <v>-62638</v>
      </c>
      <c r="I18" s="522">
        <v>-208303</v>
      </c>
      <c r="J18" s="522">
        <v>-44446</v>
      </c>
      <c r="K18" s="412"/>
    </row>
    <row r="19" spans="1:11" s="357" customFormat="1" ht="20.25" customHeight="1">
      <c r="A19" s="356"/>
      <c r="C19" s="746" t="s">
        <v>275</v>
      </c>
      <c r="D19" s="359">
        <v>685783</v>
      </c>
      <c r="E19" s="359">
        <v>667811</v>
      </c>
      <c r="F19" s="412"/>
      <c r="G19" s="750" t="s">
        <v>294</v>
      </c>
      <c r="H19" s="522">
        <v>-40651</v>
      </c>
      <c r="I19" s="522">
        <v>-137236</v>
      </c>
      <c r="J19" s="522">
        <v>-42864</v>
      </c>
      <c r="K19" s="412"/>
    </row>
    <row r="20" spans="1:11" s="361" customFormat="1" ht="20.25" customHeight="1">
      <c r="A20" s="360"/>
      <c r="C20" s="746" t="s">
        <v>276</v>
      </c>
      <c r="D20" s="359">
        <f>+D21-SUM(D16:D19)</f>
        <v>132438</v>
      </c>
      <c r="E20" s="359">
        <f>+E21-SUM(E16:E19)</f>
        <v>167801</v>
      </c>
      <c r="F20" s="412"/>
      <c r="G20" s="750" t="s">
        <v>350</v>
      </c>
      <c r="H20" s="522">
        <v>-43484</v>
      </c>
      <c r="I20" s="522">
        <v>-148001</v>
      </c>
      <c r="J20" s="522">
        <v>-39123</v>
      </c>
      <c r="K20" s="412"/>
    </row>
    <row r="21" spans="1:11" s="357" customFormat="1" ht="20.25" customHeight="1">
      <c r="A21" s="356"/>
      <c r="C21" s="745" t="s">
        <v>277</v>
      </c>
      <c r="D21" s="358">
        <v>6180893</v>
      </c>
      <c r="E21" s="358">
        <v>6252767</v>
      </c>
      <c r="F21" s="412"/>
      <c r="G21" s="752" t="s">
        <v>68</v>
      </c>
      <c r="H21" s="524">
        <v>1289</v>
      </c>
      <c r="I21" s="524">
        <v>-1504</v>
      </c>
      <c r="J21" s="524">
        <v>-158</v>
      </c>
      <c r="K21" s="412"/>
    </row>
    <row r="22" spans="1:11" s="357" customFormat="1" ht="20.25" customHeight="1">
      <c r="A22" s="356"/>
      <c r="C22" s="746" t="s">
        <v>278</v>
      </c>
      <c r="D22" s="359">
        <v>846331</v>
      </c>
      <c r="E22" s="359">
        <v>846331</v>
      </c>
      <c r="F22" s="412"/>
      <c r="G22" s="753" t="s">
        <v>295</v>
      </c>
      <c r="H22" s="521">
        <v>0</v>
      </c>
      <c r="I22" s="521">
        <v>0</v>
      </c>
      <c r="J22" s="521">
        <v>0</v>
      </c>
      <c r="K22" s="412"/>
    </row>
    <row r="23" spans="1:11" s="361" customFormat="1" ht="20.25" customHeight="1">
      <c r="A23" s="360"/>
      <c r="C23" s="746" t="s">
        <v>279</v>
      </c>
      <c r="D23" s="359">
        <v>77345</v>
      </c>
      <c r="E23" s="359">
        <v>77345</v>
      </c>
      <c r="F23" s="412"/>
      <c r="G23" s="754" t="s">
        <v>296</v>
      </c>
      <c r="H23" s="521">
        <v>1289</v>
      </c>
      <c r="I23" s="521">
        <v>-1504</v>
      </c>
      <c r="J23" s="521">
        <v>-158</v>
      </c>
      <c r="K23" s="412"/>
    </row>
    <row r="24" spans="1:11" s="357" customFormat="1" ht="20.25" customHeight="1">
      <c r="A24" s="356"/>
      <c r="C24" s="746" t="s">
        <v>280</v>
      </c>
      <c r="D24" s="359">
        <v>26434</v>
      </c>
      <c r="E24" s="359">
        <v>25561</v>
      </c>
      <c r="F24" s="412"/>
      <c r="G24" s="755" t="s">
        <v>297</v>
      </c>
      <c r="H24" s="524">
        <v>21610</v>
      </c>
      <c r="I24" s="524">
        <v>142169</v>
      </c>
      <c r="J24" s="524">
        <v>38716</v>
      </c>
      <c r="K24" s="412"/>
    </row>
    <row r="25" spans="1:11" s="361" customFormat="1" ht="20.25" customHeight="1">
      <c r="A25" s="360"/>
      <c r="C25" s="746" t="s">
        <v>281</v>
      </c>
      <c r="D25" s="374">
        <v>475104</v>
      </c>
      <c r="E25" s="374">
        <v>504392</v>
      </c>
      <c r="F25" s="412"/>
      <c r="G25" s="750" t="s">
        <v>298</v>
      </c>
      <c r="H25" s="521">
        <v>-4606</v>
      </c>
      <c r="I25" s="521">
        <v>-32774</v>
      </c>
      <c r="J25" s="521">
        <v>-9429</v>
      </c>
      <c r="K25" s="412"/>
    </row>
    <row r="26" spans="1:11" s="361" customFormat="1" ht="20.25" customHeight="1">
      <c r="A26" s="360"/>
      <c r="C26" s="747" t="s">
        <v>282</v>
      </c>
      <c r="D26" s="405">
        <v>1425215</v>
      </c>
      <c r="E26" s="405">
        <v>1453630</v>
      </c>
      <c r="F26" s="412"/>
      <c r="G26" s="1363" t="s">
        <v>74</v>
      </c>
      <c r="H26" s="1365">
        <v>17004</v>
      </c>
      <c r="I26" s="1358">
        <v>109395</v>
      </c>
      <c r="J26" s="1358">
        <v>29288</v>
      </c>
      <c r="K26" s="412"/>
    </row>
    <row r="27" spans="1:11" s="361" customFormat="1" ht="20.25" customHeight="1" thickBot="1">
      <c r="A27" s="360"/>
      <c r="C27" s="748" t="s">
        <v>283</v>
      </c>
      <c r="D27" s="790">
        <v>7606108</v>
      </c>
      <c r="E27" s="790">
        <v>7706396</v>
      </c>
      <c r="F27" s="412"/>
      <c r="G27" s="1364"/>
      <c r="H27" s="1366"/>
      <c r="I27" s="1359"/>
      <c r="J27" s="1359"/>
      <c r="K27" s="412"/>
    </row>
    <row r="28" spans="1:11" s="361" customFormat="1" ht="5.25" customHeight="1">
      <c r="A28" s="360"/>
      <c r="C28" s="455"/>
      <c r="D28" s="375"/>
      <c r="E28" s="375"/>
      <c r="F28" s="375"/>
      <c r="G28" s="519"/>
      <c r="H28" s="375"/>
      <c r="I28" s="375"/>
      <c r="J28" s="375"/>
      <c r="K28" s="375"/>
    </row>
    <row r="29" spans="1:11" s="361" customFormat="1" ht="17.25" customHeight="1">
      <c r="A29" s="360"/>
      <c r="C29" s="455"/>
      <c r="D29" s="375"/>
      <c r="E29" s="375"/>
      <c r="F29" s="375"/>
      <c r="G29" s="431"/>
      <c r="H29" s="375"/>
      <c r="I29" s="375"/>
      <c r="J29" s="375"/>
      <c r="K29" s="375"/>
    </row>
    <row r="30" spans="1:11" s="361" customFormat="1" ht="27.75" customHeight="1">
      <c r="A30" s="360"/>
      <c r="C30" s="818" t="s">
        <v>542</v>
      </c>
      <c r="D30" s="375"/>
      <c r="E30" s="375"/>
      <c r="F30" s="375"/>
      <c r="H30" s="375"/>
      <c r="I30" s="375"/>
      <c r="J30" s="375"/>
      <c r="K30" s="375"/>
    </row>
    <row r="31" spans="1:11" s="379" customFormat="1" ht="17.25" customHeight="1">
      <c r="A31" s="402"/>
      <c r="C31" s="450" t="s">
        <v>254</v>
      </c>
      <c r="D31" s="407" t="s">
        <v>260</v>
      </c>
      <c r="E31" s="406" t="s">
        <v>255</v>
      </c>
      <c r="F31" s="408"/>
      <c r="G31" s="450" t="s">
        <v>254</v>
      </c>
      <c r="H31" s="406" t="s">
        <v>259</v>
      </c>
      <c r="I31" s="408"/>
      <c r="J31" s="408"/>
      <c r="K31" s="408"/>
    </row>
    <row r="32" spans="1:11" s="379" customFormat="1" ht="17.25" customHeight="1">
      <c r="A32" s="378"/>
      <c r="C32" s="913" t="s">
        <v>261</v>
      </c>
      <c r="D32" s="1217">
        <v>3910907</v>
      </c>
      <c r="E32" s="1360">
        <v>12811</v>
      </c>
      <c r="F32" s="409"/>
      <c r="G32" s="756" t="s">
        <v>256</v>
      </c>
      <c r="H32" s="1220">
        <v>10074157</v>
      </c>
      <c r="I32" s="409"/>
      <c r="J32" s="409"/>
      <c r="K32" s="409"/>
    </row>
    <row r="33" spans="1:11" s="379" customFormat="1" ht="17.25" customHeight="1">
      <c r="A33" s="378"/>
      <c r="C33" s="914" t="s">
        <v>258</v>
      </c>
      <c r="D33" s="1218">
        <v>572151</v>
      </c>
      <c r="E33" s="1361"/>
      <c r="F33" s="409"/>
      <c r="G33" s="757" t="s">
        <v>257</v>
      </c>
      <c r="H33" s="1221">
        <v>1598084</v>
      </c>
      <c r="I33" s="409"/>
      <c r="J33" s="409"/>
      <c r="K33" s="409"/>
    </row>
    <row r="34" spans="1:11" s="377" customFormat="1" ht="17.25" customHeight="1" thickBot="1">
      <c r="A34" s="376"/>
      <c r="C34" s="915" t="s">
        <v>262</v>
      </c>
      <c r="D34" s="1219">
        <v>2146112</v>
      </c>
      <c r="E34" s="1362"/>
      <c r="F34" s="410"/>
      <c r="G34" s="758" t="s">
        <v>258</v>
      </c>
      <c r="H34" s="1222">
        <v>1159854</v>
      </c>
      <c r="I34" s="410"/>
      <c r="J34" s="410"/>
      <c r="K34" s="410"/>
    </row>
    <row r="35" spans="1:11" s="379" customFormat="1" ht="4.5" customHeight="1" thickTop="1">
      <c r="A35" s="378"/>
      <c r="C35" s="456"/>
      <c r="D35" s="456"/>
      <c r="E35" s="456"/>
      <c r="F35" s="456"/>
      <c r="G35" s="456"/>
      <c r="H35" s="456"/>
      <c r="I35" s="456"/>
      <c r="J35" s="456"/>
      <c r="K35" s="456"/>
    </row>
    <row r="36" spans="1:11" s="365" customFormat="1" ht="17.25" customHeight="1">
      <c r="A36" s="364"/>
      <c r="C36" s="520"/>
      <c r="D36" s="403"/>
      <c r="E36" s="403"/>
      <c r="F36" s="403"/>
      <c r="G36" s="520"/>
      <c r="H36" s="403"/>
      <c r="I36" s="403"/>
      <c r="J36" s="403"/>
      <c r="K36" s="403"/>
    </row>
    <row r="37" spans="1:11" ht="18.75" hidden="1" customHeight="1">
      <c r="A37" s="350"/>
      <c r="C37" s="457" t="s">
        <v>15</v>
      </c>
      <c r="D37" s="457"/>
      <c r="E37" s="457"/>
      <c r="F37" s="457"/>
      <c r="G37" s="457" t="s">
        <v>15</v>
      </c>
      <c r="H37" s="457"/>
      <c r="I37" s="457"/>
      <c r="J37" s="457"/>
      <c r="K37" s="457"/>
    </row>
    <row r="38" spans="1:11" ht="18.75" hidden="1" customHeight="1">
      <c r="A38" s="350"/>
      <c r="C38" s="457" t="s">
        <v>16</v>
      </c>
      <c r="D38" s="457"/>
      <c r="E38" s="457"/>
      <c r="F38" s="457"/>
      <c r="G38" s="457" t="s">
        <v>16</v>
      </c>
      <c r="H38" s="457"/>
      <c r="I38" s="457"/>
      <c r="J38" s="457"/>
      <c r="K38" s="457"/>
    </row>
    <row r="39" spans="1:11" ht="18.75" hidden="1" customHeight="1">
      <c r="A39" s="350"/>
      <c r="C39" s="351" t="s">
        <v>17</v>
      </c>
      <c r="G39" s="351" t="s">
        <v>17</v>
      </c>
    </row>
    <row r="40" spans="1:11">
      <c r="A40" s="350"/>
    </row>
  </sheetData>
  <mergeCells count="8">
    <mergeCell ref="J26:J27"/>
    <mergeCell ref="E32:E34"/>
    <mergeCell ref="H5:I5"/>
    <mergeCell ref="D5:E5"/>
    <mergeCell ref="F5:F6"/>
    <mergeCell ref="G26:G27"/>
    <mergeCell ref="I26:I27"/>
    <mergeCell ref="H26:H27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0" orientation="landscape" useFirstPageNumber="1" verticalDpi="0" r:id="rId1"/>
  <headerFooter>
    <oddHeader>&amp;R&amp;"Trebuchet MS,보통"&amp;12
www.wooribank.com</oddHeader>
    <oddFooter xml:space="preserve">&amp;R&amp;"Trebuchet MS,보통"Page  20
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80" zoomScaleNormal="90" zoomScaleSheetLayoutView="80" workbookViewId="0">
      <selection activeCell="T25" sqref="T25"/>
    </sheetView>
  </sheetViews>
  <sheetFormatPr defaultRowHeight="20.25"/>
  <cols>
    <col min="1" max="1" width="18.28515625" style="382" customWidth="1"/>
    <col min="2" max="2" width="1.5703125" style="382" customWidth="1"/>
    <col min="3" max="3" width="21.140625" style="382" customWidth="1"/>
    <col min="4" max="4" width="8.42578125" style="382" customWidth="1"/>
    <col min="5" max="6" width="8" style="382" customWidth="1"/>
    <col min="7" max="7" width="9.140625" style="382" customWidth="1"/>
    <col min="8" max="9" width="8" style="382" customWidth="1"/>
    <col min="10" max="10" width="8.28515625" style="382" customWidth="1"/>
    <col min="11" max="11" width="8" style="382" customWidth="1"/>
    <col min="12" max="17" width="8.140625" style="382" customWidth="1"/>
    <col min="18" max="18" width="9.28515625" style="382" customWidth="1"/>
    <col min="19" max="21" width="15.7109375" style="382" customWidth="1"/>
    <col min="22" max="16384" width="9.140625" style="382"/>
  </cols>
  <sheetData>
    <row r="1" spans="1:19" ht="30" customHeight="1">
      <c r="A1" s="824"/>
      <c r="B1" s="380"/>
      <c r="C1" s="1307" t="s">
        <v>377</v>
      </c>
      <c r="D1" s="1307"/>
      <c r="E1" s="1307"/>
      <c r="F1" s="1307"/>
      <c r="G1" s="1307"/>
      <c r="H1" s="1307"/>
      <c r="I1" s="1307"/>
      <c r="J1" s="98"/>
      <c r="K1" s="98"/>
      <c r="L1" s="385"/>
      <c r="M1" s="385"/>
      <c r="N1" s="385"/>
      <c r="O1" s="385"/>
      <c r="P1" s="385"/>
      <c r="Q1" s="385"/>
      <c r="R1" s="380"/>
      <c r="S1" s="381"/>
    </row>
    <row r="2" spans="1:19">
      <c r="A2" s="383"/>
      <c r="R2" s="381"/>
      <c r="S2" s="381"/>
    </row>
    <row r="3" spans="1:19">
      <c r="A3" s="383"/>
      <c r="R3" s="381"/>
      <c r="S3" s="381"/>
    </row>
    <row r="4" spans="1:19" s="12" customFormat="1" ht="12">
      <c r="A4" s="386"/>
      <c r="C4" s="819" t="s">
        <v>424</v>
      </c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</row>
    <row r="5" spans="1:19" s="387" customFormat="1" ht="12">
      <c r="A5" s="386"/>
    </row>
    <row r="6" spans="1:19" s="387" customFormat="1" ht="27" customHeight="1">
      <c r="A6" s="386"/>
      <c r="D6" s="1370" t="s">
        <v>479</v>
      </c>
      <c r="E6" s="1371"/>
      <c r="F6" s="1370" t="s">
        <v>481</v>
      </c>
      <c r="G6" s="1371"/>
      <c r="H6" s="1370" t="s">
        <v>483</v>
      </c>
      <c r="I6" s="1371"/>
      <c r="J6" s="1370" t="s">
        <v>498</v>
      </c>
      <c r="K6" s="1371"/>
      <c r="L6" s="1370" t="s">
        <v>504</v>
      </c>
      <c r="M6" s="1371"/>
      <c r="N6" s="1372" t="s">
        <v>506</v>
      </c>
      <c r="O6" s="1373"/>
      <c r="P6" s="1372" t="s">
        <v>521</v>
      </c>
      <c r="Q6" s="1373"/>
      <c r="R6" s="840"/>
    </row>
    <row r="7" spans="1:19" s="387" customFormat="1" ht="27" customHeight="1">
      <c r="A7" s="386"/>
      <c r="C7" s="485" t="s">
        <v>299</v>
      </c>
      <c r="D7" s="644" t="s">
        <v>300</v>
      </c>
      <c r="E7" s="645" t="s">
        <v>4</v>
      </c>
      <c r="F7" s="644" t="s">
        <v>300</v>
      </c>
      <c r="G7" s="645" t="s">
        <v>4</v>
      </c>
      <c r="H7" s="644" t="s">
        <v>300</v>
      </c>
      <c r="I7" s="645" t="s">
        <v>4</v>
      </c>
      <c r="J7" s="644" t="s">
        <v>300</v>
      </c>
      <c r="K7" s="645" t="s">
        <v>4</v>
      </c>
      <c r="L7" s="644" t="s">
        <v>300</v>
      </c>
      <c r="M7" s="645" t="s">
        <v>4</v>
      </c>
      <c r="N7" s="644" t="s">
        <v>300</v>
      </c>
      <c r="O7" s="645" t="s">
        <v>4</v>
      </c>
      <c r="P7" s="644" t="s">
        <v>300</v>
      </c>
      <c r="Q7" s="645" t="s">
        <v>4</v>
      </c>
    </row>
    <row r="8" spans="1:19" s="387" customFormat="1" ht="27" customHeight="1">
      <c r="A8" s="386"/>
      <c r="C8" s="686" t="s">
        <v>301</v>
      </c>
      <c r="D8" s="389">
        <f t="shared" ref="D8:O8" si="0">D9+D10+D11+D12+D13</f>
        <v>6009.9120000000003</v>
      </c>
      <c r="E8" s="388">
        <f t="shared" si="0"/>
        <v>147.529</v>
      </c>
      <c r="F8" s="389">
        <f t="shared" si="0"/>
        <v>6105.8789999999999</v>
      </c>
      <c r="G8" s="388">
        <f t="shared" si="0"/>
        <v>145.80500000000001</v>
      </c>
      <c r="H8" s="389">
        <f t="shared" si="0"/>
        <v>6078.7369999999992</v>
      </c>
      <c r="I8" s="388">
        <f t="shared" si="0"/>
        <v>152.6</v>
      </c>
      <c r="J8" s="389">
        <f t="shared" si="0"/>
        <v>6231.25</v>
      </c>
      <c r="K8" s="388">
        <f t="shared" si="0"/>
        <v>128.541</v>
      </c>
      <c r="L8" s="389">
        <f t="shared" si="0"/>
        <v>6430.9969999999994</v>
      </c>
      <c r="M8" s="388">
        <f t="shared" si="0"/>
        <v>148.48299999999998</v>
      </c>
      <c r="N8" s="389">
        <f t="shared" si="0"/>
        <v>6682.3406644420011</v>
      </c>
      <c r="O8" s="388">
        <f t="shared" si="0"/>
        <v>155.36799999999999</v>
      </c>
      <c r="P8" s="389">
        <f t="shared" ref="P8:Q8" si="1">P9+P10+P11+P12+P13</f>
        <v>6630.7179999999998</v>
      </c>
      <c r="Q8" s="388">
        <f t="shared" si="1"/>
        <v>171.35000000000002</v>
      </c>
    </row>
    <row r="9" spans="1:19" s="387" customFormat="1" ht="27" customHeight="1">
      <c r="A9" s="386"/>
      <c r="C9" s="687" t="s">
        <v>302</v>
      </c>
      <c r="D9" s="391">
        <v>5641.3990000000003</v>
      </c>
      <c r="E9" s="390">
        <v>51.081000000000003</v>
      </c>
      <c r="F9" s="391">
        <v>5735.5510000000004</v>
      </c>
      <c r="G9" s="390">
        <v>53.811</v>
      </c>
      <c r="H9" s="391">
        <v>5714.924</v>
      </c>
      <c r="I9" s="390">
        <v>59.088000000000001</v>
      </c>
      <c r="J9" s="391">
        <v>5881.3850000000002</v>
      </c>
      <c r="K9" s="390">
        <v>55.515000000000001</v>
      </c>
      <c r="L9" s="391">
        <v>6038.1549999999997</v>
      </c>
      <c r="M9" s="390">
        <v>55.308</v>
      </c>
      <c r="N9" s="391">
        <v>6303.3756283709999</v>
      </c>
      <c r="O9" s="390">
        <v>66.317999999999998</v>
      </c>
      <c r="P9" s="1189">
        <v>6230.8789999999999</v>
      </c>
      <c r="Q9" s="797">
        <v>65.298000000000002</v>
      </c>
    </row>
    <row r="10" spans="1:19" s="387" customFormat="1" ht="27" customHeight="1">
      <c r="A10" s="386"/>
      <c r="C10" s="687" t="s">
        <v>303</v>
      </c>
      <c r="D10" s="391">
        <v>291.81</v>
      </c>
      <c r="E10" s="390">
        <v>34.984999999999999</v>
      </c>
      <c r="F10" s="391">
        <v>302.12900000000002</v>
      </c>
      <c r="G10" s="390">
        <v>37.478000000000002</v>
      </c>
      <c r="H10" s="391">
        <v>294.56599999999997</v>
      </c>
      <c r="I10" s="390">
        <v>38.770000000000003</v>
      </c>
      <c r="J10" s="391">
        <v>305.52199999999999</v>
      </c>
      <c r="K10" s="390">
        <v>39.219000000000001</v>
      </c>
      <c r="L10" s="391">
        <v>329.08</v>
      </c>
      <c r="M10" s="390">
        <v>43.244</v>
      </c>
      <c r="N10" s="391">
        <v>328.18256892599999</v>
      </c>
      <c r="O10" s="390">
        <v>54.71</v>
      </c>
      <c r="P10" s="1189">
        <v>330.18299999999999</v>
      </c>
      <c r="Q10" s="797">
        <v>57.322000000000003</v>
      </c>
    </row>
    <row r="11" spans="1:19" s="387" customFormat="1" ht="27" customHeight="1">
      <c r="A11" s="386"/>
      <c r="C11" s="687" t="s">
        <v>304</v>
      </c>
      <c r="D11" s="391">
        <v>0</v>
      </c>
      <c r="E11" s="390">
        <v>0</v>
      </c>
      <c r="F11" s="391">
        <v>0</v>
      </c>
      <c r="G11" s="390">
        <v>0</v>
      </c>
      <c r="H11" s="391">
        <v>0</v>
      </c>
      <c r="I11" s="390">
        <v>0</v>
      </c>
      <c r="J11" s="391">
        <v>0</v>
      </c>
      <c r="K11" s="390">
        <v>0</v>
      </c>
      <c r="L11" s="391">
        <v>0</v>
      </c>
      <c r="M11" s="390">
        <v>0</v>
      </c>
      <c r="N11" s="391">
        <v>0</v>
      </c>
      <c r="O11" s="390">
        <v>0</v>
      </c>
      <c r="P11" s="1189">
        <v>0</v>
      </c>
      <c r="Q11" s="797">
        <v>0</v>
      </c>
    </row>
    <row r="12" spans="1:19" s="387" customFormat="1" ht="27" customHeight="1">
      <c r="A12" s="386"/>
      <c r="C12" s="687" t="s">
        <v>305</v>
      </c>
      <c r="D12" s="391">
        <v>44.610999999999997</v>
      </c>
      <c r="E12" s="390">
        <v>35.235999999999997</v>
      </c>
      <c r="F12" s="391">
        <v>41.350999999999999</v>
      </c>
      <c r="G12" s="390">
        <v>32.436</v>
      </c>
      <c r="H12" s="391">
        <v>43.883000000000003</v>
      </c>
      <c r="I12" s="390">
        <v>34.177999999999997</v>
      </c>
      <c r="J12" s="391">
        <v>30.527000000000001</v>
      </c>
      <c r="K12" s="390">
        <v>23.003</v>
      </c>
      <c r="L12" s="391">
        <v>46.826000000000001</v>
      </c>
      <c r="M12" s="390">
        <v>36.347999999999999</v>
      </c>
      <c r="N12" s="391">
        <v>31.510898783999998</v>
      </c>
      <c r="O12" s="390">
        <v>20.922000000000001</v>
      </c>
      <c r="P12" s="1189">
        <v>46.107999999999997</v>
      </c>
      <c r="Q12" s="797">
        <v>32.081000000000003</v>
      </c>
    </row>
    <row r="13" spans="1:19" s="387" customFormat="1" ht="27" customHeight="1" thickBot="1">
      <c r="A13" s="386"/>
      <c r="C13" s="759" t="s">
        <v>306</v>
      </c>
      <c r="D13" s="393">
        <v>32.091999999999999</v>
      </c>
      <c r="E13" s="392">
        <v>26.227</v>
      </c>
      <c r="F13" s="393">
        <v>26.847999999999999</v>
      </c>
      <c r="G13" s="392">
        <v>22.08</v>
      </c>
      <c r="H13" s="393">
        <v>25.364000000000001</v>
      </c>
      <c r="I13" s="392">
        <v>20.564</v>
      </c>
      <c r="J13" s="393">
        <v>13.816000000000001</v>
      </c>
      <c r="K13" s="392">
        <v>10.804</v>
      </c>
      <c r="L13" s="393">
        <v>16.936</v>
      </c>
      <c r="M13" s="392">
        <v>13.583</v>
      </c>
      <c r="N13" s="393">
        <v>19.271568360999996</v>
      </c>
      <c r="O13" s="392">
        <v>13.417999999999999</v>
      </c>
      <c r="P13" s="1190">
        <v>23.547999999999998</v>
      </c>
      <c r="Q13" s="1188">
        <v>16.649000000000001</v>
      </c>
    </row>
    <row r="14" spans="1:19" s="387" customFormat="1" ht="12">
      <c r="A14" s="386"/>
    </row>
    <row r="15" spans="1:19" s="387" customFormat="1" ht="12">
      <c r="A15" s="386"/>
    </row>
    <row r="16" spans="1:19" s="387" customFormat="1" ht="12">
      <c r="A16" s="386"/>
      <c r="P16" s="1026"/>
    </row>
    <row r="17" spans="1:22" s="387" customFormat="1" ht="12">
      <c r="A17" s="386"/>
    </row>
    <row r="18" spans="1:22" s="387" customFormat="1" ht="12">
      <c r="A18" s="386"/>
    </row>
    <row r="19" spans="1:22" s="387" customFormat="1" ht="12">
      <c r="A19" s="386"/>
      <c r="C19" s="819" t="s">
        <v>425</v>
      </c>
      <c r="Q19" s="820"/>
      <c r="R19" s="47"/>
      <c r="S19" s="327"/>
    </row>
    <row r="20" spans="1:22" s="387" customFormat="1" ht="12">
      <c r="A20" s="386"/>
      <c r="Q20" s="820"/>
      <c r="R20" s="47"/>
      <c r="S20" s="327"/>
    </row>
    <row r="21" spans="1:22" s="387" customFormat="1" ht="27" customHeight="1">
      <c r="A21" s="386"/>
      <c r="D21" s="1322" t="s">
        <v>308</v>
      </c>
      <c r="E21" s="1322"/>
      <c r="F21" s="1368"/>
      <c r="G21" s="1369" t="s">
        <v>309</v>
      </c>
      <c r="H21" s="1322"/>
      <c r="I21" s="1368"/>
      <c r="J21" s="1369" t="s">
        <v>310</v>
      </c>
      <c r="K21" s="1322"/>
      <c r="L21" s="1368"/>
      <c r="M21" s="1369" t="s">
        <v>311</v>
      </c>
      <c r="N21" s="1322"/>
      <c r="O21" s="1322"/>
      <c r="P21" s="1374"/>
      <c r="Q21" s="47"/>
      <c r="R21" s="1367"/>
      <c r="S21" s="841"/>
      <c r="T21" s="485"/>
      <c r="U21" s="39"/>
      <c r="V21" s="39"/>
    </row>
    <row r="22" spans="1:22" s="387" customFormat="1" ht="27" customHeight="1">
      <c r="A22" s="386"/>
      <c r="C22" s="485" t="s">
        <v>299</v>
      </c>
      <c r="D22" s="384" t="s">
        <v>300</v>
      </c>
      <c r="E22" s="384" t="s">
        <v>189</v>
      </c>
      <c r="F22" s="509" t="s">
        <v>307</v>
      </c>
      <c r="G22" s="508" t="s">
        <v>300</v>
      </c>
      <c r="H22" s="384" t="s">
        <v>189</v>
      </c>
      <c r="I22" s="510" t="s">
        <v>307</v>
      </c>
      <c r="J22" s="384" t="s">
        <v>300</v>
      </c>
      <c r="K22" s="511" t="s">
        <v>189</v>
      </c>
      <c r="L22" s="509" t="s">
        <v>307</v>
      </c>
      <c r="M22" s="512" t="s">
        <v>300</v>
      </c>
      <c r="N22" s="511" t="s">
        <v>189</v>
      </c>
      <c r="O22" s="509" t="s">
        <v>307</v>
      </c>
      <c r="P22" s="1375"/>
      <c r="Q22" s="853"/>
      <c r="R22" s="1367"/>
      <c r="S22" s="846"/>
      <c r="T22" s="846"/>
      <c r="U22" s="847"/>
      <c r="V22" s="847"/>
    </row>
    <row r="23" spans="1:22" s="387" customFormat="1" ht="27" customHeight="1">
      <c r="A23" s="386"/>
      <c r="C23" s="686" t="s">
        <v>301</v>
      </c>
      <c r="D23" s="388">
        <f>D24+D25+D26+D27+D28</f>
        <v>813.71</v>
      </c>
      <c r="E23" s="1027">
        <f>E24+E25+E26+E27+E28</f>
        <v>19.465000000000003</v>
      </c>
      <c r="F23" s="1028">
        <f t="shared" ref="F23:F28" si="2">E23/D23*100</f>
        <v>2.3921298742795347</v>
      </c>
      <c r="G23" s="389">
        <f>G24+G25+G26+G27+G28</f>
        <v>5815.4619999999995</v>
      </c>
      <c r="H23" s="1027">
        <f>H24+H25+H26+H27+H28</f>
        <v>151.88500000000002</v>
      </c>
      <c r="I23" s="1029">
        <f t="shared" ref="I23:I28" si="3">H23/G23*100</f>
        <v>2.6117443463649153</v>
      </c>
      <c r="J23" s="388">
        <f>J24+J25+J26+J27+J28</f>
        <v>1.546</v>
      </c>
      <c r="K23" s="1027">
        <f>K24+K25+K26+K27+K28</f>
        <v>2.9999999999999997E-4</v>
      </c>
      <c r="L23" s="1030">
        <f>K23/H23*100</f>
        <v>1.975178589064094E-4</v>
      </c>
      <c r="M23" s="1031">
        <f>M24+M25+M26+M27+M28</f>
        <v>6630.7179999999998</v>
      </c>
      <c r="N23" s="388">
        <f>N24+N25+N26+N27+N28</f>
        <v>171.3503</v>
      </c>
      <c r="O23" s="1030">
        <f t="shared" ref="O23:O28" si="4">N23/M23*100</f>
        <v>2.5841892235501494</v>
      </c>
      <c r="P23" s="832"/>
      <c r="Q23" s="855"/>
      <c r="R23" s="318"/>
      <c r="S23" s="842"/>
      <c r="T23" s="848"/>
      <c r="U23" s="849"/>
      <c r="V23" s="849"/>
    </row>
    <row r="24" spans="1:22" s="387" customFormat="1" ht="27" customHeight="1">
      <c r="A24" s="386"/>
      <c r="C24" s="687" t="s">
        <v>302</v>
      </c>
      <c r="D24" s="797">
        <v>784.31100000000004</v>
      </c>
      <c r="E24" s="1187">
        <v>7.2610000000000001</v>
      </c>
      <c r="F24" s="1032">
        <f t="shared" si="2"/>
        <v>0.92578071708799181</v>
      </c>
      <c r="G24" s="1189">
        <v>5445.0219999999999</v>
      </c>
      <c r="H24" s="1187">
        <v>58.036999999999999</v>
      </c>
      <c r="I24" s="1033">
        <f t="shared" si="3"/>
        <v>1.0658726447753561</v>
      </c>
      <c r="J24" s="797">
        <v>1.546</v>
      </c>
      <c r="K24" s="797">
        <v>2.9999999999999997E-4</v>
      </c>
      <c r="L24" s="1034">
        <f>K24/H24*100</f>
        <v>5.1691162534245392E-4</v>
      </c>
      <c r="M24" s="1035">
        <f t="shared" ref="M24:N24" si="5">D24+G24+J24</f>
        <v>6230.8789999999999</v>
      </c>
      <c r="N24" s="390">
        <f t="shared" si="5"/>
        <v>65.298299999999998</v>
      </c>
      <c r="O24" s="1030">
        <f t="shared" si="4"/>
        <v>1.0479789448647614</v>
      </c>
      <c r="P24" s="832"/>
      <c r="Q24" s="855"/>
      <c r="R24" s="854"/>
      <c r="S24" s="843"/>
      <c r="T24" s="850"/>
      <c r="U24" s="851"/>
      <c r="V24" s="851"/>
    </row>
    <row r="25" spans="1:22" s="387" customFormat="1" ht="27" customHeight="1">
      <c r="A25" s="386"/>
      <c r="C25" s="687" t="s">
        <v>303</v>
      </c>
      <c r="D25" s="797">
        <v>19.321999999999999</v>
      </c>
      <c r="E25" s="1187">
        <v>3.27</v>
      </c>
      <c r="F25" s="1032">
        <f t="shared" si="2"/>
        <v>16.923713901252459</v>
      </c>
      <c r="G25" s="1189">
        <v>310.86099999999999</v>
      </c>
      <c r="H25" s="1187">
        <v>54.052</v>
      </c>
      <c r="I25" s="1033">
        <f t="shared" si="3"/>
        <v>17.387835720788392</v>
      </c>
      <c r="J25" s="797">
        <v>0</v>
      </c>
      <c r="K25" s="797">
        <v>0</v>
      </c>
      <c r="L25" s="1034">
        <f>K25/H25*100</f>
        <v>0</v>
      </c>
      <c r="M25" s="1035">
        <f t="shared" ref="M25:M28" si="6">D25+G25+J25</f>
        <v>330.18299999999999</v>
      </c>
      <c r="N25" s="390">
        <f t="shared" ref="N25:N28" si="7">E25+H25+K25</f>
        <v>57.322000000000003</v>
      </c>
      <c r="O25" s="1030">
        <f t="shared" si="4"/>
        <v>17.360675746479984</v>
      </c>
      <c r="P25" s="832"/>
      <c r="Q25" s="856"/>
      <c r="R25" s="47"/>
      <c r="S25" s="843"/>
      <c r="T25" s="850"/>
      <c r="U25" s="852"/>
      <c r="V25" s="852"/>
    </row>
    <row r="26" spans="1:22" s="387" customFormat="1" ht="27" customHeight="1">
      <c r="A26" s="386"/>
      <c r="C26" s="687" t="s">
        <v>304</v>
      </c>
      <c r="D26" s="797">
        <v>0</v>
      </c>
      <c r="E26" s="1187">
        <v>0</v>
      </c>
      <c r="F26" s="1036">
        <v>0</v>
      </c>
      <c r="G26" s="1189">
        <v>0</v>
      </c>
      <c r="H26" s="1187">
        <v>0</v>
      </c>
      <c r="I26" s="1036">
        <v>0</v>
      </c>
      <c r="J26" s="797">
        <v>0</v>
      </c>
      <c r="K26" s="797">
        <v>0</v>
      </c>
      <c r="L26" s="1034">
        <v>0</v>
      </c>
      <c r="M26" s="1035">
        <f t="shared" si="6"/>
        <v>0</v>
      </c>
      <c r="N26" s="390">
        <f t="shared" si="7"/>
        <v>0</v>
      </c>
      <c r="O26" s="1030">
        <v>0</v>
      </c>
      <c r="P26" s="833"/>
      <c r="Q26" s="856"/>
      <c r="R26" s="854"/>
      <c r="S26" s="843"/>
      <c r="T26" s="850"/>
      <c r="U26" s="851"/>
      <c r="V26" s="851"/>
    </row>
    <row r="27" spans="1:22" s="387" customFormat="1" ht="27" customHeight="1">
      <c r="A27" s="386"/>
      <c r="C27" s="687" t="s">
        <v>305</v>
      </c>
      <c r="D27" s="797">
        <v>4.9390000000000001</v>
      </c>
      <c r="E27" s="1187">
        <v>4.4119999999999999</v>
      </c>
      <c r="F27" s="1032">
        <f t="shared" si="2"/>
        <v>89.329823850981981</v>
      </c>
      <c r="G27" s="1189">
        <v>41.168999999999997</v>
      </c>
      <c r="H27" s="1187">
        <v>27.669</v>
      </c>
      <c r="I27" s="1033">
        <f t="shared" si="3"/>
        <v>67.208336369598484</v>
      </c>
      <c r="J27" s="797">
        <v>0</v>
      </c>
      <c r="K27" s="797">
        <v>0</v>
      </c>
      <c r="L27" s="1034">
        <f>K27/H27*100</f>
        <v>0</v>
      </c>
      <c r="M27" s="1035">
        <f t="shared" si="6"/>
        <v>46.107999999999997</v>
      </c>
      <c r="N27" s="390">
        <f t="shared" si="7"/>
        <v>32.081000000000003</v>
      </c>
      <c r="O27" s="1030">
        <f t="shared" si="4"/>
        <v>69.57794742777827</v>
      </c>
      <c r="P27" s="832"/>
      <c r="Q27" s="856"/>
      <c r="R27" s="47"/>
      <c r="S27" s="843"/>
      <c r="T27" s="850"/>
      <c r="U27" s="852"/>
      <c r="V27" s="852"/>
    </row>
    <row r="28" spans="1:22" s="387" customFormat="1" ht="27" customHeight="1" thickBot="1">
      <c r="A28" s="386"/>
      <c r="C28" s="759" t="s">
        <v>306</v>
      </c>
      <c r="D28" s="1188">
        <v>5.1379999999999999</v>
      </c>
      <c r="E28" s="1188">
        <v>4.5220000000000002</v>
      </c>
      <c r="F28" s="1037">
        <f t="shared" si="2"/>
        <v>88.010899182561317</v>
      </c>
      <c r="G28" s="1190">
        <v>18.41</v>
      </c>
      <c r="H28" s="1188">
        <v>12.127000000000001</v>
      </c>
      <c r="I28" s="1038">
        <f t="shared" si="3"/>
        <v>65.871808799565457</v>
      </c>
      <c r="J28" s="1188">
        <v>0</v>
      </c>
      <c r="K28" s="1188">
        <v>0</v>
      </c>
      <c r="L28" s="1039">
        <f>K28/H28*100</f>
        <v>0</v>
      </c>
      <c r="M28" s="1040">
        <f t="shared" si="6"/>
        <v>23.548000000000002</v>
      </c>
      <c r="N28" s="1040">
        <f t="shared" si="7"/>
        <v>16.649000000000001</v>
      </c>
      <c r="O28" s="1041">
        <f t="shared" si="4"/>
        <v>70.702395107864788</v>
      </c>
      <c r="P28" s="832"/>
      <c r="Q28" s="856"/>
      <c r="R28" s="854"/>
      <c r="S28" s="843"/>
      <c r="T28" s="850"/>
      <c r="U28" s="851"/>
      <c r="V28" s="851"/>
    </row>
    <row r="29" spans="1:22" s="387" customFormat="1" ht="12">
      <c r="A29" s="386"/>
      <c r="H29" s="394"/>
      <c r="S29" s="843"/>
      <c r="T29" s="850"/>
      <c r="U29" s="852"/>
      <c r="V29" s="852"/>
    </row>
    <row r="30" spans="1:22" s="387" customFormat="1" ht="12">
      <c r="A30" s="386"/>
      <c r="C30" s="513" t="s">
        <v>545</v>
      </c>
      <c r="Q30" s="844"/>
      <c r="R30" s="845"/>
    </row>
    <row r="31" spans="1:22" s="387" customFormat="1" ht="12">
      <c r="A31" s="386"/>
      <c r="C31" s="137"/>
    </row>
    <row r="32" spans="1:22" s="387" customFormat="1" ht="12">
      <c r="A32" s="386"/>
      <c r="C32" s="458"/>
      <c r="D32" s="395"/>
      <c r="E32" s="395"/>
      <c r="F32" s="395"/>
      <c r="G32" s="395"/>
      <c r="H32" s="395"/>
      <c r="I32" s="395"/>
      <c r="J32" s="395"/>
      <c r="K32" s="395"/>
      <c r="L32" s="395"/>
      <c r="M32" s="395"/>
      <c r="N32" s="395"/>
      <c r="O32" s="395"/>
      <c r="P32" s="395"/>
      <c r="Q32" s="395"/>
    </row>
    <row r="33" spans="3:17" s="137" customFormat="1" ht="11.25"/>
    <row r="34" spans="3:17" s="137" customFormat="1" ht="11.25">
      <c r="C34" s="396"/>
    </row>
    <row r="35" spans="3:17"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</row>
  </sheetData>
  <mergeCells count="14">
    <mergeCell ref="R21:R22"/>
    <mergeCell ref="C1:I1"/>
    <mergeCell ref="D21:F21"/>
    <mergeCell ref="G21:I21"/>
    <mergeCell ref="J21:L21"/>
    <mergeCell ref="M21:O21"/>
    <mergeCell ref="D6:E6"/>
    <mergeCell ref="F6:G6"/>
    <mergeCell ref="H6:I6"/>
    <mergeCell ref="P6:Q6"/>
    <mergeCell ref="N6:O6"/>
    <mergeCell ref="L6:M6"/>
    <mergeCell ref="J6:K6"/>
    <mergeCell ref="P21:P22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7" orientation="landscape" useFirstPageNumber="1" verticalDpi="0" r:id="rId1"/>
  <headerFooter>
    <oddHeader>&amp;R&amp;"Trebuchet MS,보통"&amp;12
www.wooribank.com</oddHeader>
    <oddFooter>&amp;R&amp;"Trebuchet MS,보통"Page 21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80" zoomScaleNormal="100" zoomScaleSheetLayoutView="80" workbookViewId="0"/>
  </sheetViews>
  <sheetFormatPr defaultRowHeight="23.25"/>
  <cols>
    <col min="1" max="1" width="22.28515625" style="62" customWidth="1"/>
    <col min="2" max="2" width="6.140625" style="62" customWidth="1"/>
    <col min="3" max="3" width="28.42578125" style="62" customWidth="1"/>
    <col min="4" max="8" width="11.42578125" style="62" customWidth="1"/>
    <col min="9" max="9" width="1.28515625" style="77" customWidth="1"/>
    <col min="10" max="10" width="6.28515625" style="77" customWidth="1"/>
    <col min="11" max="11" width="30.42578125" style="77" customWidth="1"/>
    <col min="12" max="16" width="11.42578125" style="77" customWidth="1"/>
    <col min="17" max="17" width="1.28515625" style="43" customWidth="1"/>
    <col min="18" max="18" width="0.5703125" style="62" customWidth="1"/>
    <col min="19" max="19" width="9.140625" style="62"/>
    <col min="20" max="20" width="14.140625" style="33" customWidth="1"/>
    <col min="21" max="16384" width="9.140625" style="62"/>
  </cols>
  <sheetData>
    <row r="1" spans="1:20" s="32" customFormat="1" ht="33" customHeight="1">
      <c r="A1" s="822"/>
      <c r="B1" s="30"/>
      <c r="C1" s="1286" t="s">
        <v>439</v>
      </c>
      <c r="D1" s="1286"/>
      <c r="E1" s="1286"/>
      <c r="F1" s="1286"/>
      <c r="G1" s="1286"/>
      <c r="H1" s="1286"/>
      <c r="I1" s="1286"/>
      <c r="J1" s="1286"/>
      <c r="K1" s="1286"/>
      <c r="L1" s="31"/>
      <c r="M1" s="31"/>
      <c r="N1" s="31"/>
      <c r="O1" s="31"/>
      <c r="P1" s="31"/>
      <c r="Q1" s="31"/>
      <c r="R1" s="30"/>
      <c r="T1" s="33"/>
    </row>
    <row r="2" spans="1:20" s="32" customFormat="1" ht="21" customHeight="1">
      <c r="A2" s="34"/>
      <c r="C2" s="416"/>
      <c r="D2" s="416"/>
      <c r="E2" s="416"/>
      <c r="F2" s="416"/>
      <c r="G2" s="416"/>
      <c r="H2" s="416"/>
      <c r="I2" s="417"/>
      <c r="J2" s="418"/>
      <c r="K2" s="418"/>
      <c r="L2" s="418"/>
      <c r="M2" s="418"/>
      <c r="N2" s="418"/>
      <c r="O2" s="418"/>
      <c r="P2" s="418"/>
      <c r="Q2" s="35"/>
      <c r="T2" s="36"/>
    </row>
    <row r="3" spans="1:20" s="32" customFormat="1">
      <c r="A3" s="34"/>
      <c r="C3" s="1287" t="s">
        <v>364</v>
      </c>
      <c r="D3" s="1287"/>
      <c r="E3" s="1287"/>
      <c r="F3" s="1287"/>
      <c r="G3" s="1287"/>
      <c r="H3" s="1287"/>
      <c r="I3" s="1287"/>
      <c r="J3" s="1287"/>
      <c r="K3" s="1287"/>
      <c r="L3" s="37"/>
      <c r="M3" s="37"/>
      <c r="N3" s="37"/>
      <c r="O3" s="37"/>
      <c r="P3" s="37"/>
      <c r="Q3" s="37"/>
      <c r="T3" s="33"/>
    </row>
    <row r="4" spans="1:20" s="32" customFormat="1" ht="26.25">
      <c r="A4" s="34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  <c r="T4" s="33"/>
    </row>
    <row r="5" spans="1:20" s="32" customFormat="1">
      <c r="A5" s="923"/>
      <c r="C5" s="485" t="s">
        <v>54</v>
      </c>
      <c r="D5" s="40" t="s">
        <v>483</v>
      </c>
      <c r="E5" s="40" t="s">
        <v>498</v>
      </c>
      <c r="F5" s="40" t="s">
        <v>504</v>
      </c>
      <c r="G5" s="40" t="s">
        <v>506</v>
      </c>
      <c r="H5" s="41" t="s">
        <v>521</v>
      </c>
      <c r="I5" s="41"/>
      <c r="J5" s="42"/>
      <c r="K5" s="340"/>
      <c r="L5" s="39" t="s">
        <v>483</v>
      </c>
      <c r="M5" s="39" t="s">
        <v>498</v>
      </c>
      <c r="N5" s="39" t="s">
        <v>504</v>
      </c>
      <c r="O5" s="39" t="s">
        <v>506</v>
      </c>
      <c r="P5" s="39" t="s">
        <v>521</v>
      </c>
      <c r="Q5" s="41"/>
      <c r="R5" s="43"/>
      <c r="S5" s="43"/>
      <c r="T5" s="33"/>
    </row>
    <row r="6" spans="1:20" s="32" customFormat="1" ht="7.5" customHeight="1">
      <c r="A6" s="34"/>
      <c r="D6" s="1288"/>
      <c r="E6" s="1288"/>
      <c r="F6" s="1288"/>
      <c r="G6" s="1288"/>
      <c r="H6" s="1288"/>
      <c r="I6" s="1288"/>
      <c r="J6" s="72"/>
      <c r="K6" s="483"/>
      <c r="L6" s="483"/>
      <c r="M6" s="483"/>
      <c r="N6" s="483"/>
      <c r="O6" s="483"/>
      <c r="P6" s="1279"/>
      <c r="Q6" s="1279"/>
      <c r="R6" s="43"/>
      <c r="S6" s="43"/>
      <c r="T6" s="33"/>
    </row>
    <row r="7" spans="1:20" s="32" customFormat="1" ht="21.75" customHeight="1">
      <c r="A7" s="34"/>
      <c r="C7" s="671" t="s">
        <v>19</v>
      </c>
      <c r="D7" s="885">
        <v>6822.692</v>
      </c>
      <c r="E7" s="885">
        <v>5372.8180000000002</v>
      </c>
      <c r="F7" s="885">
        <v>8261.51</v>
      </c>
      <c r="G7" s="885">
        <v>7591.3239999999996</v>
      </c>
      <c r="H7" s="885">
        <v>7984</v>
      </c>
      <c r="I7" s="44"/>
      <c r="J7" s="978"/>
      <c r="K7" s="675" t="s">
        <v>333</v>
      </c>
      <c r="L7" s="892">
        <v>217953.95499999999</v>
      </c>
      <c r="M7" s="892">
        <v>218493.76699999999</v>
      </c>
      <c r="N7" s="892">
        <v>220465.58499999999</v>
      </c>
      <c r="O7" s="892">
        <v>221020.41099999999</v>
      </c>
      <c r="P7" s="892">
        <v>222386.239</v>
      </c>
      <c r="Q7" s="46"/>
      <c r="R7" s="43"/>
      <c r="S7" s="45"/>
      <c r="T7" s="33"/>
    </row>
    <row r="8" spans="1:20" s="32" customFormat="1" ht="21.75" customHeight="1">
      <c r="A8" s="34"/>
      <c r="C8" s="672" t="s">
        <v>20</v>
      </c>
      <c r="D8" s="885">
        <f>D7-D9</f>
        <v>6171.5389999999998</v>
      </c>
      <c r="E8" s="885">
        <f>E7-E9</f>
        <v>4565.1220000000003</v>
      </c>
      <c r="F8" s="885">
        <f>F7-F9</f>
        <v>7509.7139999999999</v>
      </c>
      <c r="G8" s="885">
        <f>G7-G9</f>
        <v>6848.9839999999995</v>
      </c>
      <c r="H8" s="885">
        <f>H7-H9</f>
        <v>7316.5950000000003</v>
      </c>
      <c r="I8" s="44"/>
      <c r="J8" s="978"/>
      <c r="K8" s="672" t="s">
        <v>37</v>
      </c>
      <c r="L8" s="893">
        <v>193158.098</v>
      </c>
      <c r="M8" s="893">
        <v>192788.75599999999</v>
      </c>
      <c r="N8" s="893">
        <v>194634.10399999999</v>
      </c>
      <c r="O8" s="893">
        <v>194612.353</v>
      </c>
      <c r="P8" s="893">
        <v>195112.65400000001</v>
      </c>
      <c r="R8" s="43"/>
      <c r="S8" s="45"/>
      <c r="T8" s="33"/>
    </row>
    <row r="9" spans="1:20" s="32" customFormat="1" ht="21.75" customHeight="1">
      <c r="A9" s="34"/>
      <c r="C9" s="672" t="s">
        <v>21</v>
      </c>
      <c r="D9" s="886">
        <v>651.15300000000002</v>
      </c>
      <c r="E9" s="886">
        <v>807.69600000000003</v>
      </c>
      <c r="F9" s="886">
        <v>751.79600000000005</v>
      </c>
      <c r="G9" s="886">
        <v>742.34</v>
      </c>
      <c r="H9" s="886">
        <v>667.40499999999997</v>
      </c>
      <c r="I9" s="50"/>
      <c r="J9" s="978"/>
      <c r="K9" s="672" t="s">
        <v>38</v>
      </c>
      <c r="L9" s="893">
        <v>20606.740000000002</v>
      </c>
      <c r="M9" s="893">
        <v>20873.567999999999</v>
      </c>
      <c r="N9" s="893">
        <v>20930.400000000001</v>
      </c>
      <c r="O9" s="893">
        <v>21453.096000000001</v>
      </c>
      <c r="P9" s="893">
        <v>22482.464</v>
      </c>
      <c r="R9" s="43"/>
      <c r="S9" s="45"/>
      <c r="T9" s="51"/>
    </row>
    <row r="10" spans="1:20" s="32" customFormat="1" ht="21.75" customHeight="1">
      <c r="A10" s="34"/>
      <c r="C10" s="673" t="s">
        <v>22</v>
      </c>
      <c r="D10" s="887">
        <f>D11+D12+D13</f>
        <v>37436.190999999999</v>
      </c>
      <c r="E10" s="887">
        <f>E11+E12+E13</f>
        <v>38337.22</v>
      </c>
      <c r="F10" s="887">
        <f>F11+F12+F13</f>
        <v>39066.861000000004</v>
      </c>
      <c r="G10" s="887">
        <f>G11+G12+G13</f>
        <v>40378.558999999994</v>
      </c>
      <c r="H10" s="887">
        <f>H11+H12+H13</f>
        <v>39330.387000000002</v>
      </c>
      <c r="I10" s="53"/>
      <c r="J10" s="978"/>
      <c r="K10" s="672" t="s">
        <v>39</v>
      </c>
      <c r="L10" s="894">
        <v>3233.915</v>
      </c>
      <c r="M10" s="894">
        <v>3778.2170000000001</v>
      </c>
      <c r="N10" s="894">
        <v>3777.078</v>
      </c>
      <c r="O10" s="894">
        <v>3808.8560000000002</v>
      </c>
      <c r="P10" s="894">
        <v>3675.3119999999999</v>
      </c>
      <c r="Q10" s="54"/>
      <c r="R10" s="55"/>
      <c r="S10" s="45"/>
      <c r="T10" s="51"/>
    </row>
    <row r="11" spans="1:20" s="32" customFormat="1" ht="21.75" customHeight="1">
      <c r="A11" s="34"/>
      <c r="C11" s="672" t="s">
        <v>23</v>
      </c>
      <c r="D11" s="885">
        <v>5236.3879999999999</v>
      </c>
      <c r="E11" s="885">
        <v>5080.6310000000003</v>
      </c>
      <c r="F11" s="885">
        <v>5717.8090000000002</v>
      </c>
      <c r="G11" s="885">
        <v>5650.7250000000004</v>
      </c>
      <c r="H11" s="885">
        <v>4895.7650000000003</v>
      </c>
      <c r="I11" s="44"/>
      <c r="J11" s="978"/>
      <c r="K11" s="675" t="s">
        <v>334</v>
      </c>
      <c r="L11" s="892">
        <v>19422.14</v>
      </c>
      <c r="M11" s="892">
        <v>19343.45</v>
      </c>
      <c r="N11" s="892">
        <v>17220.127</v>
      </c>
      <c r="O11" s="892">
        <v>18769.513999999999</v>
      </c>
      <c r="P11" s="892">
        <v>16866.596000000001</v>
      </c>
      <c r="Q11" s="46"/>
      <c r="R11" s="56"/>
      <c r="S11" s="45"/>
      <c r="T11" s="57"/>
    </row>
    <row r="12" spans="1:20" s="32" customFormat="1" ht="21.75" customHeight="1">
      <c r="A12" s="34"/>
      <c r="C12" s="672" t="s">
        <v>24</v>
      </c>
      <c r="D12" s="885">
        <v>18668.614000000001</v>
      </c>
      <c r="E12" s="885">
        <v>19475.205999999998</v>
      </c>
      <c r="F12" s="885">
        <v>19495.351999999999</v>
      </c>
      <c r="G12" s="885">
        <v>20817.582999999999</v>
      </c>
      <c r="H12" s="885">
        <v>20138.096000000001</v>
      </c>
      <c r="I12" s="44"/>
      <c r="J12" s="978"/>
      <c r="K12" s="672" t="s">
        <v>40</v>
      </c>
      <c r="L12" s="893">
        <v>6767.68</v>
      </c>
      <c r="M12" s="893">
        <v>6715.616</v>
      </c>
      <c r="N12" s="893">
        <v>6548.27</v>
      </c>
      <c r="O12" s="893">
        <v>6582.8580000000002</v>
      </c>
      <c r="P12" s="893">
        <v>6136.5789999999997</v>
      </c>
      <c r="R12" s="56"/>
      <c r="S12" s="45"/>
      <c r="T12" s="51"/>
    </row>
    <row r="13" spans="1:20" s="32" customFormat="1" ht="21.75" customHeight="1">
      <c r="A13" s="34"/>
      <c r="C13" s="672" t="s">
        <v>25</v>
      </c>
      <c r="D13" s="886">
        <v>13531.189</v>
      </c>
      <c r="E13" s="886">
        <v>13781.383</v>
      </c>
      <c r="F13" s="886">
        <v>13853.7</v>
      </c>
      <c r="G13" s="886">
        <v>13910.251</v>
      </c>
      <c r="H13" s="886">
        <v>14296.526</v>
      </c>
      <c r="I13" s="44"/>
      <c r="J13" s="978"/>
      <c r="K13" s="672" t="s">
        <v>41</v>
      </c>
      <c r="L13" s="893">
        <v>8827.3230000000003</v>
      </c>
      <c r="M13" s="893">
        <v>9401.616</v>
      </c>
      <c r="N13" s="893">
        <v>7432.8130000000001</v>
      </c>
      <c r="O13" s="893">
        <v>7754.6970000000001</v>
      </c>
      <c r="P13" s="893">
        <v>7209.5020000000004</v>
      </c>
      <c r="R13" s="56"/>
      <c r="S13" s="45"/>
      <c r="T13" s="51"/>
    </row>
    <row r="14" spans="1:20" s="32" customFormat="1" ht="21.75" customHeight="1">
      <c r="A14" s="34"/>
      <c r="C14" s="671" t="s">
        <v>26</v>
      </c>
      <c r="D14" s="888">
        <v>260107.519</v>
      </c>
      <c r="E14" s="888">
        <v>260834.821</v>
      </c>
      <c r="F14" s="888">
        <v>261208.23300000001</v>
      </c>
      <c r="G14" s="888">
        <v>258392.633</v>
      </c>
      <c r="H14" s="888">
        <v>259253.03</v>
      </c>
      <c r="I14" s="58"/>
      <c r="J14" s="978"/>
      <c r="K14" s="675" t="s">
        <v>42</v>
      </c>
      <c r="L14" s="895">
        <v>21219.309000000001</v>
      </c>
      <c r="M14" s="895">
        <v>23602.899000000001</v>
      </c>
      <c r="N14" s="895">
        <v>23193.17</v>
      </c>
      <c r="O14" s="895">
        <v>23565.448</v>
      </c>
      <c r="P14" s="895">
        <v>23970.184000000001</v>
      </c>
      <c r="Q14" s="59"/>
      <c r="R14" s="56"/>
      <c r="S14" s="45"/>
      <c r="T14" s="60"/>
    </row>
    <row r="15" spans="1:20" s="32" customFormat="1" ht="21.75" customHeight="1">
      <c r="A15" s="34"/>
      <c r="C15" s="672" t="s">
        <v>27</v>
      </c>
      <c r="D15" s="888">
        <v>188127.522</v>
      </c>
      <c r="E15" s="888">
        <v>191072.171</v>
      </c>
      <c r="F15" s="888">
        <v>190962.367</v>
      </c>
      <c r="G15" s="888">
        <v>191309.476</v>
      </c>
      <c r="H15" s="888">
        <v>193372.726</v>
      </c>
      <c r="I15" s="44"/>
      <c r="J15" s="978"/>
      <c r="K15" s="672" t="s">
        <v>43</v>
      </c>
      <c r="L15" s="893">
        <v>17257.493999999999</v>
      </c>
      <c r="M15" s="893">
        <v>19574.098999999998</v>
      </c>
      <c r="N15" s="893">
        <v>19467.901999999998</v>
      </c>
      <c r="O15" s="893">
        <v>19686.151000000002</v>
      </c>
      <c r="P15" s="893">
        <v>20056.43</v>
      </c>
      <c r="R15" s="56"/>
      <c r="S15" s="45"/>
      <c r="T15" s="977"/>
    </row>
    <row r="16" spans="1:20" ht="21.75" customHeight="1">
      <c r="A16" s="61"/>
      <c r="C16" s="672" t="s">
        <v>28</v>
      </c>
      <c r="D16" s="888">
        <v>13458.401</v>
      </c>
      <c r="E16" s="888">
        <v>13987.575999999999</v>
      </c>
      <c r="F16" s="888">
        <v>13371.731</v>
      </c>
      <c r="G16" s="888">
        <v>14101.6</v>
      </c>
      <c r="H16" s="888">
        <v>12939.285</v>
      </c>
      <c r="I16" s="44"/>
      <c r="J16" s="978"/>
      <c r="K16" s="672" t="s">
        <v>44</v>
      </c>
      <c r="L16" s="896">
        <v>3957.8090000000002</v>
      </c>
      <c r="M16" s="896">
        <v>4024.7930000000001</v>
      </c>
      <c r="N16" s="896">
        <v>3721.2629999999999</v>
      </c>
      <c r="O16" s="896">
        <v>3875.2910000000002</v>
      </c>
      <c r="P16" s="896">
        <v>3577.5410000000002</v>
      </c>
      <c r="Q16" s="63"/>
      <c r="R16" s="43"/>
      <c r="S16" s="45"/>
      <c r="T16" s="977"/>
    </row>
    <row r="17" spans="1:22" ht="21.75" customHeight="1">
      <c r="A17" s="61"/>
      <c r="C17" s="672" t="s">
        <v>29</v>
      </c>
      <c r="D17" s="888">
        <v>6556.7809999999999</v>
      </c>
      <c r="E17" s="888">
        <v>8026.6540000000005</v>
      </c>
      <c r="F17" s="888">
        <v>6865.2389999999996</v>
      </c>
      <c r="G17" s="888">
        <v>7758.5749999999998</v>
      </c>
      <c r="H17" s="888">
        <v>6778.1970000000001</v>
      </c>
      <c r="I17" s="44"/>
      <c r="J17" s="978"/>
      <c r="K17" s="675" t="s">
        <v>403</v>
      </c>
      <c r="L17" s="893">
        <f>3669.177+463.319+137.427+138.62+20.394+20.794+25909.38+340.156</f>
        <v>30699.267</v>
      </c>
      <c r="M17" s="893">
        <f>3236.266+393.698+79.255+24.946+20.662+14.609+23452.813+315.05</f>
        <v>27537.298999999995</v>
      </c>
      <c r="N17" s="893">
        <f>3725.747+420.844+70.092+47.743+20.11+25.175+26725.88+327.633</f>
        <v>31363.224000000002</v>
      </c>
      <c r="O17" s="893">
        <f>3803.359+428.477+64.666+171.192+21985.086+299.375+22.023+7.221</f>
        <v>26781.399000000001</v>
      </c>
      <c r="P17" s="893">
        <f>3197.323+384.246+49.561+338.03+21.509+48.459+22765.872+315.034</f>
        <v>27120.034</v>
      </c>
      <c r="R17" s="43"/>
      <c r="S17" s="45"/>
      <c r="T17" s="977"/>
    </row>
    <row r="18" spans="1:22" ht="21.75" customHeight="1">
      <c r="A18" s="61"/>
      <c r="C18" s="672" t="s">
        <v>30</v>
      </c>
      <c r="D18" s="888">
        <v>6078.7370000000001</v>
      </c>
      <c r="E18" s="888">
        <v>6231.2489999999998</v>
      </c>
      <c r="F18" s="888">
        <v>6430.9970000000003</v>
      </c>
      <c r="G18" s="888">
        <v>6673.7648077699996</v>
      </c>
      <c r="H18" s="888">
        <v>6623.3440000000001</v>
      </c>
      <c r="I18" s="44"/>
      <c r="J18" s="978"/>
      <c r="K18" s="672" t="s">
        <v>46</v>
      </c>
      <c r="L18" s="897">
        <v>463.31900000000002</v>
      </c>
      <c r="M18" s="897">
        <v>393.69799999999998</v>
      </c>
      <c r="N18" s="897">
        <v>420.84399999999999</v>
      </c>
      <c r="O18" s="897">
        <v>428.47699999999998</v>
      </c>
      <c r="P18" s="897">
        <v>384.24599999999998</v>
      </c>
      <c r="Q18" s="64"/>
      <c r="R18" s="43"/>
      <c r="S18" s="45"/>
      <c r="T18" s="977"/>
    </row>
    <row r="19" spans="1:22" ht="21.75" customHeight="1">
      <c r="A19" s="61"/>
      <c r="C19" s="672" t="s">
        <v>31</v>
      </c>
      <c r="D19" s="886">
        <f>D14-D15-D16-D17-D18</f>
        <v>45886.078000000001</v>
      </c>
      <c r="E19" s="886">
        <f>E14-E15-E16-E17-E18</f>
        <v>41517.170999999988</v>
      </c>
      <c r="F19" s="886">
        <f>F14-F15-F16-F17-F18</f>
        <v>43577.899000000005</v>
      </c>
      <c r="G19" s="886">
        <f>G14-G15-G16-G17-G18</f>
        <v>38549.217192230011</v>
      </c>
      <c r="H19" s="886">
        <f>H14-H15-H16-H17-H18</f>
        <v>39539.478000000003</v>
      </c>
      <c r="I19" s="49"/>
      <c r="J19" s="978"/>
      <c r="K19" s="672" t="s">
        <v>404</v>
      </c>
      <c r="L19" s="898">
        <v>20.794</v>
      </c>
      <c r="M19" s="898">
        <v>14.609</v>
      </c>
      <c r="N19" s="898">
        <v>25.175000000000001</v>
      </c>
      <c r="O19" s="898">
        <v>7.2210000000000001</v>
      </c>
      <c r="P19" s="898">
        <v>48.459000000000003</v>
      </c>
      <c r="Q19" s="66"/>
      <c r="R19" s="43"/>
      <c r="S19" s="45"/>
      <c r="T19" s="948"/>
    </row>
    <row r="20" spans="1:22" s="68" customFormat="1" ht="21.75" customHeight="1">
      <c r="A20" s="67"/>
      <c r="C20" s="671" t="s">
        <v>32</v>
      </c>
      <c r="D20" s="889">
        <v>631.72199999999998</v>
      </c>
      <c r="E20" s="889">
        <v>438.69299999999998</v>
      </c>
      <c r="F20" s="889">
        <v>419.53199999999998</v>
      </c>
      <c r="G20" s="889">
        <v>439.011609013</v>
      </c>
      <c r="H20" s="889">
        <v>398.94099999999997</v>
      </c>
      <c r="I20" s="49"/>
      <c r="J20" s="979"/>
      <c r="K20" s="676" t="s">
        <v>48</v>
      </c>
      <c r="L20" s="899">
        <f>L7+L11+L14+L17</f>
        <v>289294.67099999997</v>
      </c>
      <c r="M20" s="899">
        <f>M7+M11+M14+M17</f>
        <v>288977.41499999998</v>
      </c>
      <c r="N20" s="899">
        <f>N7+N11+N14+N17</f>
        <v>292242.10599999997</v>
      </c>
      <c r="O20" s="899">
        <f>O7+O11+O14+O17</f>
        <v>290136.77199999994</v>
      </c>
      <c r="P20" s="899">
        <f>P7+P11+P14+P17</f>
        <v>290343.05299999996</v>
      </c>
      <c r="Q20" s="65"/>
      <c r="R20" s="70"/>
      <c r="S20" s="45"/>
      <c r="T20" s="71"/>
    </row>
    <row r="21" spans="1:22" s="68" customFormat="1" ht="21.75" customHeight="1">
      <c r="A21" s="67"/>
      <c r="C21" s="671" t="s">
        <v>33</v>
      </c>
      <c r="D21" s="890">
        <f>359.1+2453.502+412.033+15.693+7.724+146.816+278.648+220.83</f>
        <v>3894.346</v>
      </c>
      <c r="E21" s="890">
        <f>368.392+2441.145+421.311+11.338+6.247+119.651+292.18+174.606</f>
        <v>3834.87</v>
      </c>
      <c r="F21" s="890">
        <f>368.063+2437.926+418.543+7.536+5.484+145.363+273.499+212.405+6.909</f>
        <v>3875.7280000000001</v>
      </c>
      <c r="G21" s="890">
        <f>358.497+2458.025+483.739+2.342+199.784+6.229+232.007+140.576</f>
        <v>3881.1990000000001</v>
      </c>
      <c r="H21" s="890">
        <f>364.74+2442.308+471.686+5.496+5.594+287.54+146.196+220.715+0</f>
        <v>3944.2750000000001</v>
      </c>
      <c r="I21" s="52"/>
      <c r="J21" s="978"/>
      <c r="K21" s="419"/>
      <c r="L21" s="900"/>
      <c r="M21" s="900"/>
      <c r="N21" s="900"/>
      <c r="O21" s="900"/>
      <c r="P21" s="900"/>
      <c r="Q21" s="65"/>
      <c r="R21" s="70"/>
      <c r="S21" s="45"/>
      <c r="T21" s="71"/>
    </row>
    <row r="22" spans="1:22" ht="21.75" customHeight="1">
      <c r="A22" s="61"/>
      <c r="C22" s="672" t="s">
        <v>34</v>
      </c>
      <c r="D22" s="891">
        <v>2453.502</v>
      </c>
      <c r="E22" s="891">
        <v>2441.145</v>
      </c>
      <c r="F22" s="891">
        <v>2437.9259999999999</v>
      </c>
      <c r="G22" s="891">
        <v>2458.0251814879998</v>
      </c>
      <c r="H22" s="891">
        <v>2442.308</v>
      </c>
      <c r="I22" s="44"/>
      <c r="J22" s="978"/>
      <c r="K22" s="677" t="s">
        <v>49</v>
      </c>
      <c r="L22" s="900">
        <v>3381.3919999999998</v>
      </c>
      <c r="M22" s="900">
        <v>3381.3919999999998</v>
      </c>
      <c r="N22" s="900">
        <v>3381.3919999999998</v>
      </c>
      <c r="O22" s="900">
        <v>3381.3919999999998</v>
      </c>
      <c r="P22" s="900">
        <v>3381.3919999999998</v>
      </c>
      <c r="Q22" s="65"/>
      <c r="R22" s="43"/>
      <c r="S22" s="45"/>
      <c r="T22" s="74"/>
    </row>
    <row r="23" spans="1:22" s="32" customFormat="1" ht="21.75" customHeight="1">
      <c r="A23" s="34"/>
      <c r="C23" s="672" t="s">
        <v>35</v>
      </c>
      <c r="D23" s="891">
        <v>412.03300000000002</v>
      </c>
      <c r="E23" s="891">
        <v>421.31099999999998</v>
      </c>
      <c r="F23" s="891">
        <v>418.54300000000001</v>
      </c>
      <c r="G23" s="891">
        <v>483.73899999999998</v>
      </c>
      <c r="H23" s="891">
        <v>471.68599999999998</v>
      </c>
      <c r="I23" s="69"/>
      <c r="J23" s="978"/>
      <c r="K23" s="677" t="s">
        <v>50</v>
      </c>
      <c r="L23" s="901">
        <v>294.26</v>
      </c>
      <c r="M23" s="901">
        <v>294.26</v>
      </c>
      <c r="N23" s="901">
        <v>294.26</v>
      </c>
      <c r="O23" s="901">
        <v>286.33100000000002</v>
      </c>
      <c r="P23" s="901">
        <v>286.33100000000002</v>
      </c>
      <c r="Q23" s="420"/>
      <c r="R23" s="43"/>
      <c r="S23" s="45"/>
      <c r="T23" s="75"/>
    </row>
    <row r="24" spans="1:22" s="32" customFormat="1" ht="21.75" customHeight="1">
      <c r="A24" s="34"/>
      <c r="C24" s="672" t="s">
        <v>36</v>
      </c>
      <c r="D24" s="885">
        <v>278.64800000000002</v>
      </c>
      <c r="E24" s="885">
        <v>292.18</v>
      </c>
      <c r="F24" s="885">
        <v>273.49900000000002</v>
      </c>
      <c r="G24" s="885">
        <v>140.577</v>
      </c>
      <c r="H24" s="885">
        <v>146.196</v>
      </c>
      <c r="I24" s="73"/>
      <c r="J24" s="978"/>
      <c r="K24" s="677" t="s">
        <v>51</v>
      </c>
      <c r="L24" s="902">
        <f>3334.002-1489.667</f>
        <v>1844.335</v>
      </c>
      <c r="M24" s="902">
        <f>3334.002-1508.901</f>
        <v>1825.1009999999999</v>
      </c>
      <c r="N24" s="902">
        <f>3883.907-1615.701</f>
        <v>2268.2060000000001</v>
      </c>
      <c r="O24" s="902">
        <f>3574.896-1468.025</f>
        <v>2106.8710000000001</v>
      </c>
      <c r="P24" s="902">
        <f>3385.5-1573.885</f>
        <v>1811.615</v>
      </c>
      <c r="Q24" s="421"/>
      <c r="R24" s="62"/>
      <c r="S24" s="45"/>
      <c r="T24" s="71"/>
      <c r="V24" s="76"/>
    </row>
    <row r="25" spans="1:22" s="32" customFormat="1" ht="21.75" customHeight="1">
      <c r="A25" s="34"/>
      <c r="C25" s="674" t="s">
        <v>31</v>
      </c>
      <c r="D25" s="886">
        <f>D21-D22-D23-D24</f>
        <v>750.16300000000012</v>
      </c>
      <c r="E25" s="886">
        <f>E21-E22-E23-E24</f>
        <v>680.23399999999992</v>
      </c>
      <c r="F25" s="886">
        <f>F21-F22-F23-F24</f>
        <v>745.7600000000001</v>
      </c>
      <c r="G25" s="886">
        <f>G21-G22-G23-G24</f>
        <v>798.85781851200022</v>
      </c>
      <c r="H25" s="886">
        <f>H21-H22-H23-H24</f>
        <v>884.08500000000015</v>
      </c>
      <c r="I25" s="815"/>
      <c r="J25" s="978"/>
      <c r="K25" s="677" t="s">
        <v>45</v>
      </c>
      <c r="L25" s="903">
        <v>13950.611999999999</v>
      </c>
      <c r="M25" s="903">
        <v>14207.911</v>
      </c>
      <c r="N25" s="903">
        <v>14514.213</v>
      </c>
      <c r="O25" s="903">
        <v>14611.566000000001</v>
      </c>
      <c r="P25" s="903">
        <v>14930.228999999999</v>
      </c>
      <c r="Q25" s="422"/>
      <c r="R25" s="62"/>
      <c r="S25" s="45"/>
      <c r="T25" s="71"/>
    </row>
    <row r="26" spans="1:22" s="32" customFormat="1" ht="21.75" customHeight="1">
      <c r="A26" s="34"/>
      <c r="C26" s="834"/>
      <c r="D26" s="816"/>
      <c r="E26" s="816"/>
      <c r="F26" s="816"/>
      <c r="G26" s="816"/>
      <c r="H26" s="816"/>
      <c r="I26" s="835"/>
      <c r="J26" s="980"/>
      <c r="K26" s="677" t="s">
        <v>52</v>
      </c>
      <c r="L26" s="901">
        <v>127.2</v>
      </c>
      <c r="M26" s="901">
        <v>132.34200000000001</v>
      </c>
      <c r="N26" s="901">
        <v>131.685</v>
      </c>
      <c r="O26" s="901">
        <v>159.79300000000001</v>
      </c>
      <c r="P26" s="901">
        <v>158.01300000000001</v>
      </c>
      <c r="Q26" s="423"/>
      <c r="R26" s="62"/>
      <c r="S26" s="45"/>
      <c r="T26" s="71"/>
    </row>
    <row r="27" spans="1:22" s="32" customFormat="1" ht="21.75" customHeight="1">
      <c r="A27" s="34"/>
      <c r="C27" s="814"/>
      <c r="D27" s="836"/>
      <c r="E27" s="836"/>
      <c r="F27" s="836"/>
      <c r="G27" s="836"/>
      <c r="H27" s="836"/>
      <c r="I27" s="837"/>
      <c r="J27" s="980"/>
      <c r="K27" s="678" t="s">
        <v>47</v>
      </c>
      <c r="L27" s="904">
        <f>SUM(L22:L26)</f>
        <v>19597.798999999999</v>
      </c>
      <c r="M27" s="904">
        <f>SUM(M22:M26)</f>
        <v>19841.006000000001</v>
      </c>
      <c r="N27" s="904">
        <f>SUM(N22:N26)</f>
        <v>20589.756000000001</v>
      </c>
      <c r="O27" s="904">
        <f>SUM(O22:O26)</f>
        <v>20545.953000000001</v>
      </c>
      <c r="P27" s="904">
        <f>SUM(P22:P26)</f>
        <v>20567.579999999998</v>
      </c>
      <c r="Q27" s="424"/>
      <c r="R27" s="62"/>
      <c r="S27" s="45"/>
      <c r="T27" s="71"/>
    </row>
    <row r="28" spans="1:22" s="32" customFormat="1" ht="18" customHeight="1" thickBot="1">
      <c r="A28" s="34"/>
      <c r="C28" s="62"/>
      <c r="D28" s="817"/>
      <c r="E28" s="817"/>
      <c r="F28" s="817"/>
      <c r="G28" s="817"/>
      <c r="H28" s="817"/>
      <c r="I28" s="77"/>
      <c r="J28" s="980"/>
      <c r="K28" s="425"/>
      <c r="L28" s="905"/>
      <c r="M28" s="905"/>
      <c r="N28" s="905"/>
      <c r="O28" s="905"/>
      <c r="P28" s="905"/>
      <c r="Q28" s="426"/>
      <c r="R28" s="62"/>
      <c r="S28" s="62"/>
      <c r="T28" s="71"/>
    </row>
    <row r="29" spans="1:22" s="32" customFormat="1" ht="15.75" customHeight="1">
      <c r="A29" s="34"/>
      <c r="C29" s="1284" t="s">
        <v>383</v>
      </c>
      <c r="D29" s="1280">
        <f>D7+D10+D14+D20+D21</f>
        <v>308892.47000000003</v>
      </c>
      <c r="E29" s="1280">
        <f>E7+E10+E14+E20+E21</f>
        <v>308818.42200000002</v>
      </c>
      <c r="F29" s="1280">
        <f>F7+F10+F14+F20+F21</f>
        <v>312831.864</v>
      </c>
      <c r="G29" s="1280">
        <f>G7+G10+G14+G20+G21</f>
        <v>310682.72660901304</v>
      </c>
      <c r="H29" s="1280">
        <f>H7+H10+H14+H20+H21</f>
        <v>310910.63300000003</v>
      </c>
      <c r="I29" s="1066"/>
      <c r="J29" s="978"/>
      <c r="K29" s="1284" t="s">
        <v>53</v>
      </c>
      <c r="L29" s="1280">
        <f>L20+L27</f>
        <v>308892.46999999997</v>
      </c>
      <c r="M29" s="1280">
        <f>M20+M27</f>
        <v>308818.42099999997</v>
      </c>
      <c r="N29" s="1280">
        <f>N20+N27</f>
        <v>312831.86199999996</v>
      </c>
      <c r="O29" s="1280">
        <f>O20+O27</f>
        <v>310682.72499999992</v>
      </c>
      <c r="P29" s="1280">
        <f>P20+P27</f>
        <v>310910.63299999997</v>
      </c>
      <c r="Q29" s="1282"/>
      <c r="R29" s="43"/>
      <c r="S29" s="43"/>
      <c r="T29" s="75"/>
    </row>
    <row r="30" spans="1:22" s="32" customFormat="1" ht="15.75" customHeight="1" thickBot="1">
      <c r="A30" s="34"/>
      <c r="C30" s="1285"/>
      <c r="D30" s="1281"/>
      <c r="E30" s="1281"/>
      <c r="F30" s="1281"/>
      <c r="G30" s="1281"/>
      <c r="H30" s="1281"/>
      <c r="I30" s="1067"/>
      <c r="J30" s="78"/>
      <c r="K30" s="1285"/>
      <c r="L30" s="1281"/>
      <c r="M30" s="1281"/>
      <c r="N30" s="1281"/>
      <c r="O30" s="1281"/>
      <c r="P30" s="1281"/>
      <c r="Q30" s="1283"/>
      <c r="R30" s="79"/>
      <c r="S30" s="45"/>
      <c r="T30" s="80"/>
    </row>
    <row r="31" spans="1:22" s="32" customFormat="1">
      <c r="A31" s="34"/>
      <c r="C31" s="369"/>
      <c r="I31" s="82"/>
      <c r="J31" s="83"/>
      <c r="K31" s="425"/>
      <c r="L31" s="84"/>
      <c r="M31" s="84"/>
      <c r="N31" s="84"/>
      <c r="O31" s="84"/>
      <c r="P31" s="84"/>
      <c r="Q31" s="43"/>
      <c r="T31" s="85"/>
    </row>
    <row r="32" spans="1:22" s="32" customFormat="1">
      <c r="A32" s="34"/>
      <c r="C32" s="427"/>
      <c r="D32" s="428"/>
      <c r="E32" s="428"/>
      <c r="F32" s="428"/>
      <c r="G32" s="428"/>
      <c r="H32" s="428"/>
      <c r="I32" s="83"/>
      <c r="J32" s="83"/>
      <c r="K32" s="77"/>
      <c r="L32" s="77"/>
      <c r="M32" s="77"/>
      <c r="N32" s="77"/>
      <c r="O32" s="77"/>
      <c r="P32" s="77"/>
      <c r="Q32" s="43"/>
      <c r="T32" s="85"/>
    </row>
    <row r="33" spans="1:10">
      <c r="A33" s="61"/>
      <c r="C33" s="32"/>
      <c r="D33" s="83"/>
      <c r="E33" s="83"/>
      <c r="F33" s="83"/>
      <c r="G33" s="83"/>
      <c r="H33" s="83"/>
      <c r="I33" s="83"/>
      <c r="J33" s="83"/>
    </row>
    <row r="34" spans="1:10">
      <c r="J34" s="83"/>
    </row>
  </sheetData>
  <mergeCells count="17">
    <mergeCell ref="C1:K1"/>
    <mergeCell ref="C3:K3"/>
    <mergeCell ref="D6:I6"/>
    <mergeCell ref="C29:C30"/>
    <mergeCell ref="D29:D30"/>
    <mergeCell ref="E29:E30"/>
    <mergeCell ref="F29:F30"/>
    <mergeCell ref="P6:Q6"/>
    <mergeCell ref="P29:P30"/>
    <mergeCell ref="N29:N30"/>
    <mergeCell ref="Q29:Q30"/>
    <mergeCell ref="G29:G30"/>
    <mergeCell ref="O29:O30"/>
    <mergeCell ref="L29:L30"/>
    <mergeCell ref="M29:M30"/>
    <mergeCell ref="H29:H30"/>
    <mergeCell ref="K29:K30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68" orientation="landscape" useFirstPageNumber="1" r:id="rId1"/>
  <headerFooter>
    <oddHeader>&amp;R&amp;"Trebuchet MS,굵게"&amp;12
&amp;"Trebuchet MS,보통"www.wooribank.com</oddHeader>
    <oddFooter>&amp;RPage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view="pageBreakPreview" zoomScale="80" zoomScaleNormal="80" zoomScaleSheetLayoutView="80" workbookViewId="0">
      <selection activeCell="C3" sqref="C3:D3"/>
    </sheetView>
  </sheetViews>
  <sheetFormatPr defaultRowHeight="23.25"/>
  <cols>
    <col min="1" max="1" width="22.5703125" style="62" customWidth="1"/>
    <col min="2" max="2" width="5.7109375" style="62" customWidth="1"/>
    <col min="3" max="3" width="26" style="62" customWidth="1"/>
    <col min="4" max="4" width="14.28515625" style="77" customWidth="1"/>
    <col min="5" max="5" width="20" style="94" customWidth="1"/>
    <col min="6" max="6" width="19.42578125" style="94" customWidth="1"/>
    <col min="7" max="7" width="20" style="94" customWidth="1"/>
    <col min="8" max="8" width="19.140625" style="94" customWidth="1"/>
    <col min="9" max="9" width="17.85546875" style="94" customWidth="1"/>
    <col min="10" max="10" width="19" style="94" customWidth="1"/>
    <col min="11" max="11" width="17.5703125" style="94" customWidth="1"/>
    <col min="12" max="12" width="3.85546875" style="62" customWidth="1"/>
    <col min="13" max="13" width="14.140625" style="33" customWidth="1"/>
    <col min="14" max="14" width="11.140625" style="62" bestFit="1" customWidth="1"/>
    <col min="15" max="16384" width="9.140625" style="62"/>
  </cols>
  <sheetData>
    <row r="1" spans="1:14" s="32" customFormat="1" ht="36" customHeight="1">
      <c r="A1" s="823"/>
      <c r="B1" s="87"/>
      <c r="C1" s="1286" t="s">
        <v>440</v>
      </c>
      <c r="D1" s="1286"/>
      <c r="E1" s="768"/>
      <c r="F1" s="768"/>
      <c r="G1" s="938"/>
      <c r="H1" s="943"/>
      <c r="I1" s="1055"/>
      <c r="J1" s="768"/>
      <c r="K1" s="768"/>
      <c r="L1" s="30"/>
      <c r="M1" s="33"/>
    </row>
    <row r="2" spans="1:14" s="32" customFormat="1" ht="16.5" customHeight="1">
      <c r="A2" s="34"/>
      <c r="C2" s="429"/>
      <c r="D2" s="429"/>
      <c r="E2" s="430"/>
      <c r="F2" s="430"/>
      <c r="G2" s="430"/>
      <c r="H2" s="430"/>
      <c r="I2" s="430"/>
      <c r="J2" s="430"/>
      <c r="K2" s="430"/>
      <c r="M2" s="33"/>
    </row>
    <row r="3" spans="1:14" s="32" customFormat="1" ht="16.5" customHeight="1">
      <c r="A3" s="34"/>
      <c r="C3" s="1287" t="s">
        <v>365</v>
      </c>
      <c r="D3" s="1287"/>
      <c r="E3" s="633"/>
      <c r="F3" s="633"/>
      <c r="G3" s="939"/>
      <c r="H3" s="944"/>
      <c r="I3" s="1056"/>
      <c r="J3" s="633"/>
      <c r="K3" s="633"/>
      <c r="M3" s="33"/>
    </row>
    <row r="4" spans="1:14" s="32" customFormat="1" ht="16.5" customHeight="1">
      <c r="A4" s="34"/>
      <c r="C4" s="37"/>
      <c r="D4" s="37"/>
      <c r="E4" s="37"/>
      <c r="F4" s="37"/>
      <c r="G4" s="37"/>
      <c r="H4" s="37"/>
      <c r="I4" s="37"/>
      <c r="J4" s="37"/>
      <c r="K4" s="37"/>
      <c r="M4" s="33"/>
    </row>
    <row r="5" spans="1:14" s="32" customFormat="1" ht="24.6" customHeight="1">
      <c r="A5" s="34"/>
      <c r="C5" s="88"/>
      <c r="D5" s="89"/>
      <c r="E5" s="1300" t="s">
        <v>482</v>
      </c>
      <c r="F5" s="1303" t="s">
        <v>72</v>
      </c>
      <c r="G5" s="1304"/>
      <c r="H5" s="1304"/>
      <c r="I5" s="1304"/>
      <c r="J5" s="1305" t="s">
        <v>508</v>
      </c>
      <c r="K5" s="1299" t="s">
        <v>522</v>
      </c>
      <c r="M5" s="90"/>
    </row>
    <row r="6" spans="1:14" s="32" customFormat="1" ht="24.6" customHeight="1">
      <c r="A6" s="34"/>
      <c r="C6" s="42"/>
      <c r="D6" s="485" t="s">
        <v>54</v>
      </c>
      <c r="E6" s="1300"/>
      <c r="F6" s="929" t="s">
        <v>500</v>
      </c>
      <c r="G6" s="940" t="s">
        <v>498</v>
      </c>
      <c r="H6" s="945" t="s">
        <v>504</v>
      </c>
      <c r="I6" s="1057" t="s">
        <v>507</v>
      </c>
      <c r="J6" s="1305"/>
      <c r="K6" s="1299"/>
    </row>
    <row r="7" spans="1:14" s="32" customFormat="1" ht="5.25" customHeight="1">
      <c r="A7" s="34"/>
      <c r="C7" s="72"/>
      <c r="E7" s="664"/>
      <c r="F7" s="664"/>
      <c r="G7" s="664"/>
      <c r="H7" s="664"/>
      <c r="I7" s="664"/>
      <c r="J7" s="664"/>
      <c r="K7" s="664"/>
    </row>
    <row r="8" spans="1:14" s="32" customFormat="1" ht="27.6" customHeight="1">
      <c r="A8" s="91"/>
      <c r="B8" s="62"/>
      <c r="C8" s="1301" t="s">
        <v>55</v>
      </c>
      <c r="D8" s="1302"/>
      <c r="E8" s="930">
        <f>E9+E12+E15+E16+E17+E18+E19+E20+E21</f>
        <v>1351.5860000000002</v>
      </c>
      <c r="F8" s="916">
        <f>F9+F12+F15+F16+F17+F18+F19+F20+F21</f>
        <v>556.25600000000009</v>
      </c>
      <c r="G8" s="916">
        <v>392.84499999999923</v>
      </c>
      <c r="H8" s="916">
        <v>440.13999999999982</v>
      </c>
      <c r="I8" s="916">
        <f>I9+I12+I15+I16+I17+I18+I19+I20+I21</f>
        <v>184.96400000000011</v>
      </c>
      <c r="J8" s="916">
        <f>J9+J12+J15+J16+J17+J18+J19+J20+J21</f>
        <v>1574.2049999999992</v>
      </c>
      <c r="K8" s="917">
        <f>K9+K12+K15+K16+K17+K18+K19+K20+K21</f>
        <v>878.71199999999999</v>
      </c>
    </row>
    <row r="9" spans="1:14" s="32" customFormat="1" ht="27.6" customHeight="1">
      <c r="A9" s="91"/>
      <c r="B9" s="62"/>
      <c r="C9" s="1291" t="s">
        <v>56</v>
      </c>
      <c r="D9" s="1292"/>
      <c r="E9" s="931">
        <f>E10-E11</f>
        <v>4761.9000000000005</v>
      </c>
      <c r="F9" s="918">
        <f>F10-F11</f>
        <v>1243.6610000000001</v>
      </c>
      <c r="G9" s="918">
        <v>1246</v>
      </c>
      <c r="H9" s="918">
        <v>1256.442</v>
      </c>
      <c r="I9" s="1061">
        <v>1274.3420000000001</v>
      </c>
      <c r="J9" s="918">
        <f>J10-J11</f>
        <v>5019.5409999999993</v>
      </c>
      <c r="K9" s="981">
        <f>K10-K11</f>
        <v>1262.7449999999999</v>
      </c>
    </row>
    <row r="10" spans="1:14" s="32" customFormat="1" ht="27.6" customHeight="1">
      <c r="A10" s="91"/>
      <c r="B10" s="62"/>
      <c r="C10" s="1291" t="s">
        <v>57</v>
      </c>
      <c r="D10" s="1292"/>
      <c r="E10" s="931">
        <v>8698.2350000000006</v>
      </c>
      <c r="F10" s="918">
        <v>2151.5070000000001</v>
      </c>
      <c r="G10" s="918">
        <v>2142.0539999999996</v>
      </c>
      <c r="H10" s="918">
        <v>2108.9249999999997</v>
      </c>
      <c r="I10" s="1061">
        <v>2109.8240000000001</v>
      </c>
      <c r="J10" s="918">
        <v>8512.31</v>
      </c>
      <c r="K10" s="981">
        <v>2083.7759999999998</v>
      </c>
    </row>
    <row r="11" spans="1:14" s="32" customFormat="1" ht="27.6" customHeight="1">
      <c r="A11" s="91"/>
      <c r="B11" s="62"/>
      <c r="C11" s="1291" t="s">
        <v>58</v>
      </c>
      <c r="D11" s="1292"/>
      <c r="E11" s="931">
        <v>3936.335</v>
      </c>
      <c r="F11" s="918">
        <v>907.846</v>
      </c>
      <c r="G11" s="918">
        <v>896.95800000000008</v>
      </c>
      <c r="H11" s="918">
        <v>852.48299999999972</v>
      </c>
      <c r="I11" s="1061">
        <v>835.48199999999997</v>
      </c>
      <c r="J11" s="918">
        <v>3492.7689999999998</v>
      </c>
      <c r="K11" s="981">
        <v>821.03099999999995</v>
      </c>
      <c r="N11" s="32" t="s">
        <v>0</v>
      </c>
    </row>
    <row r="12" spans="1:14" s="32" customFormat="1" ht="27.6" customHeight="1">
      <c r="A12" s="91"/>
      <c r="B12" s="62"/>
      <c r="C12" s="1291" t="s">
        <v>59</v>
      </c>
      <c r="D12" s="1292"/>
      <c r="E12" s="931">
        <f>E13-E14</f>
        <v>976.79599999999994</v>
      </c>
      <c r="F12" s="918">
        <f>F13-F14</f>
        <v>231.73500000000001</v>
      </c>
      <c r="G12" s="918">
        <v>236.27100000000002</v>
      </c>
      <c r="H12" s="918">
        <v>241.52499999999986</v>
      </c>
      <c r="I12" s="1061">
        <v>227.62000000000006</v>
      </c>
      <c r="J12" s="918">
        <f>J13-J14</f>
        <v>937.15099999999995</v>
      </c>
      <c r="K12" s="981">
        <f>K13-K14</f>
        <v>274.01900000000001</v>
      </c>
    </row>
    <row r="13" spans="1:14" s="32" customFormat="1" ht="27.6" customHeight="1">
      <c r="A13" s="91"/>
      <c r="B13" s="62"/>
      <c r="C13" s="1291" t="s">
        <v>60</v>
      </c>
      <c r="D13" s="1292"/>
      <c r="E13" s="931">
        <v>1757.34</v>
      </c>
      <c r="F13" s="918">
        <v>449.64100000000002</v>
      </c>
      <c r="G13" s="918">
        <v>457.18900000000002</v>
      </c>
      <c r="H13" s="918">
        <v>482.01999999999981</v>
      </c>
      <c r="I13" s="1061">
        <v>476.64000000000004</v>
      </c>
      <c r="J13" s="918">
        <v>1865.49</v>
      </c>
      <c r="K13" s="981">
        <v>506.67899999999997</v>
      </c>
    </row>
    <row r="14" spans="1:14" s="32" customFormat="1" ht="27.6" customHeight="1">
      <c r="A14" s="91"/>
      <c r="B14" s="62"/>
      <c r="C14" s="1291" t="s">
        <v>61</v>
      </c>
      <c r="D14" s="1292"/>
      <c r="E14" s="931">
        <v>780.54399999999998</v>
      </c>
      <c r="F14" s="918">
        <v>217.90600000000001</v>
      </c>
      <c r="G14" s="918">
        <v>220.91800000000001</v>
      </c>
      <c r="H14" s="918">
        <v>240.49499999999995</v>
      </c>
      <c r="I14" s="1061">
        <v>249.02000000000004</v>
      </c>
      <c r="J14" s="918">
        <v>928.33900000000006</v>
      </c>
      <c r="K14" s="981">
        <v>232.66</v>
      </c>
    </row>
    <row r="15" spans="1:14" s="32" customFormat="1" ht="27.6" customHeight="1">
      <c r="A15" s="91"/>
      <c r="B15" s="62"/>
      <c r="C15" s="1291" t="s">
        <v>62</v>
      </c>
      <c r="D15" s="1292"/>
      <c r="E15" s="931">
        <v>102.923</v>
      </c>
      <c r="F15" s="918">
        <v>67.317999999999998</v>
      </c>
      <c r="G15" s="918">
        <v>53.081000000000003</v>
      </c>
      <c r="H15" s="918">
        <v>16.881</v>
      </c>
      <c r="I15" s="1061">
        <v>47.22999999999999</v>
      </c>
      <c r="J15" s="918">
        <v>184.51</v>
      </c>
      <c r="K15" s="981">
        <v>39.828000000000003</v>
      </c>
    </row>
    <row r="16" spans="1:14" s="32" customFormat="1" ht="27.6" customHeight="1">
      <c r="A16" s="91"/>
      <c r="B16" s="62"/>
      <c r="C16" s="1291" t="s">
        <v>63</v>
      </c>
      <c r="D16" s="1292"/>
      <c r="E16" s="931">
        <v>240.34200000000001</v>
      </c>
      <c r="F16" s="918">
        <v>-58.265999999999998</v>
      </c>
      <c r="G16" s="918">
        <v>116.863</v>
      </c>
      <c r="H16" s="918">
        <v>-102.36199999999999</v>
      </c>
      <c r="I16" s="1061">
        <v>158.15299999999999</v>
      </c>
      <c r="J16" s="918">
        <v>114.38800000000001</v>
      </c>
      <c r="K16" s="981">
        <v>-158.47499999999999</v>
      </c>
      <c r="M16" s="81"/>
    </row>
    <row r="17" spans="1:14" s="32" customFormat="1" ht="27.6" customHeight="1">
      <c r="A17" s="91"/>
      <c r="B17" s="62"/>
      <c r="C17" s="1291" t="s">
        <v>64</v>
      </c>
      <c r="D17" s="1292"/>
      <c r="E17" s="931">
        <v>-3.2810000000000001</v>
      </c>
      <c r="F17" s="918">
        <v>9.2870000000000008</v>
      </c>
      <c r="G17" s="918">
        <v>19.595999999999997</v>
      </c>
      <c r="H17" s="918">
        <v>3.8890000000000029</v>
      </c>
      <c r="I17" s="1061">
        <v>-33.807000000000002</v>
      </c>
      <c r="J17" s="918">
        <v>-1.0349999999999999</v>
      </c>
      <c r="K17" s="981">
        <v>15.785</v>
      </c>
      <c r="M17" s="81"/>
    </row>
    <row r="18" spans="1:14" s="32" customFormat="1" ht="27.6" customHeight="1">
      <c r="A18" s="91"/>
      <c r="B18" s="62"/>
      <c r="C18" s="1291" t="s">
        <v>65</v>
      </c>
      <c r="D18" s="1292"/>
      <c r="E18" s="931">
        <v>0</v>
      </c>
      <c r="F18" s="918">
        <v>0</v>
      </c>
      <c r="G18" s="918">
        <v>0</v>
      </c>
      <c r="H18" s="918">
        <v>0</v>
      </c>
      <c r="I18" s="1061">
        <v>0</v>
      </c>
      <c r="J18" s="918">
        <v>0</v>
      </c>
      <c r="K18" s="981">
        <v>0</v>
      </c>
    </row>
    <row r="19" spans="1:14" s="32" customFormat="1" ht="27.6" customHeight="1">
      <c r="A19" s="91"/>
      <c r="B19" s="62"/>
      <c r="C19" s="1291" t="s">
        <v>66</v>
      </c>
      <c r="D19" s="1292"/>
      <c r="E19" s="931">
        <v>-966.64599999999996</v>
      </c>
      <c r="F19" s="918">
        <v>-180.21</v>
      </c>
      <c r="G19" s="918">
        <v>-250.53400000000002</v>
      </c>
      <c r="H19" s="918">
        <v>-240.0989999999999</v>
      </c>
      <c r="I19" s="1061">
        <v>-163.23300000000009</v>
      </c>
      <c r="J19" s="918">
        <v>-834.07600000000002</v>
      </c>
      <c r="K19" s="981">
        <v>-79.313000000000002</v>
      </c>
    </row>
    <row r="20" spans="1:14" s="32" customFormat="1" ht="27.6" customHeight="1">
      <c r="A20" s="91"/>
      <c r="B20" s="62"/>
      <c r="C20" s="1291" t="s">
        <v>444</v>
      </c>
      <c r="D20" s="1292"/>
      <c r="E20" s="931">
        <v>-3150.3870000000002</v>
      </c>
      <c r="F20" s="918">
        <v>-772.44200000000001</v>
      </c>
      <c r="G20" s="918">
        <v>-873</v>
      </c>
      <c r="H20" s="918">
        <v>-767.23</v>
      </c>
      <c r="I20" s="1061">
        <v>-1066.694</v>
      </c>
      <c r="J20" s="918">
        <v>-3478.4760000000001</v>
      </c>
      <c r="K20" s="981">
        <v>-754.27099999999996</v>
      </c>
    </row>
    <row r="21" spans="1:14" s="32" customFormat="1" ht="27.6" customHeight="1">
      <c r="A21" s="91"/>
      <c r="B21" s="62"/>
      <c r="C21" s="1291" t="s">
        <v>67</v>
      </c>
      <c r="D21" s="1292"/>
      <c r="E21" s="931">
        <v>-610.06100000000004</v>
      </c>
      <c r="F21" s="918">
        <v>15.173</v>
      </c>
      <c r="G21" s="918">
        <v>-155.41800000000001</v>
      </c>
      <c r="H21" s="918">
        <v>31.094000000000008</v>
      </c>
      <c r="I21" s="1061">
        <v>-258.64699999999999</v>
      </c>
      <c r="J21" s="918">
        <v>-367.798</v>
      </c>
      <c r="K21" s="981">
        <v>278.39400000000001</v>
      </c>
    </row>
    <row r="22" spans="1:14" s="32" customFormat="1" ht="27.6" customHeight="1">
      <c r="A22" s="91"/>
      <c r="B22" s="62"/>
      <c r="C22" s="1293" t="s">
        <v>401</v>
      </c>
      <c r="D22" s="1294"/>
      <c r="E22" s="930">
        <f>E23+E24</f>
        <v>100.36000000000001</v>
      </c>
      <c r="F22" s="916">
        <f>F23+F24</f>
        <v>9.1069999999999993</v>
      </c>
      <c r="G22" s="916">
        <v>-47.088999999999999</v>
      </c>
      <c r="H22" s="916">
        <v>8.1570000000000054</v>
      </c>
      <c r="I22" s="1062">
        <v>9.0090000000000003</v>
      </c>
      <c r="J22" s="916">
        <f>J23+J24</f>
        <v>-20.816000000000003</v>
      </c>
      <c r="K22" s="917">
        <f>K23+K24</f>
        <v>-50.146999999999998</v>
      </c>
    </row>
    <row r="23" spans="1:14" s="32" customFormat="1" ht="27.6" customHeight="1">
      <c r="A23" s="91"/>
      <c r="B23" s="62"/>
      <c r="C23" s="1291" t="s">
        <v>69</v>
      </c>
      <c r="D23" s="1292"/>
      <c r="E23" s="931">
        <v>-70.123999999999995</v>
      </c>
      <c r="F23" s="918">
        <v>-0.05</v>
      </c>
      <c r="G23" s="918">
        <v>-11.593999999999999</v>
      </c>
      <c r="H23" s="918">
        <v>-6.3749999999999982</v>
      </c>
      <c r="I23" s="1061">
        <v>-1.488</v>
      </c>
      <c r="J23" s="918">
        <v>-19.507000000000001</v>
      </c>
      <c r="K23" s="981">
        <v>-49.414999999999999</v>
      </c>
    </row>
    <row r="24" spans="1:14" s="32" customFormat="1" ht="27.6" customHeight="1">
      <c r="A24" s="91"/>
      <c r="B24" s="62"/>
      <c r="C24" s="1295" t="s">
        <v>70</v>
      </c>
      <c r="D24" s="1296"/>
      <c r="E24" s="931">
        <v>170.48400000000001</v>
      </c>
      <c r="F24" s="918">
        <v>9.157</v>
      </c>
      <c r="G24" s="918">
        <v>-35.495000000000005</v>
      </c>
      <c r="H24" s="918">
        <v>14.532000000000004</v>
      </c>
      <c r="I24" s="1061">
        <v>10.497</v>
      </c>
      <c r="J24" s="918">
        <v>-1.3089999999999999</v>
      </c>
      <c r="K24" s="981">
        <v>-0.73199999999999998</v>
      </c>
    </row>
    <row r="25" spans="1:14" s="32" customFormat="1" ht="27.6" customHeight="1">
      <c r="A25" s="91"/>
      <c r="B25" s="62"/>
      <c r="C25" s="1297" t="s">
        <v>71</v>
      </c>
      <c r="D25" s="1298"/>
      <c r="E25" s="930">
        <f>E8+E22</f>
        <v>1451.9460000000004</v>
      </c>
      <c r="F25" s="916">
        <f>F8+F22</f>
        <v>565.36300000000006</v>
      </c>
      <c r="G25" s="916">
        <v>345.75599999999929</v>
      </c>
      <c r="H25" s="916">
        <v>448.2969999999998</v>
      </c>
      <c r="I25" s="916">
        <f>I8+I22</f>
        <v>193.97300000000013</v>
      </c>
      <c r="J25" s="916">
        <f>J8+J22</f>
        <v>1553.3889999999992</v>
      </c>
      <c r="K25" s="917">
        <f>K8+K22</f>
        <v>828.56499999999994</v>
      </c>
    </row>
    <row r="26" spans="1:14" ht="27.6" customHeight="1" thickBot="1">
      <c r="A26" s="91"/>
      <c r="C26" s="1289" t="s">
        <v>405</v>
      </c>
      <c r="D26" s="1290"/>
      <c r="E26" s="1121">
        <v>1059.1569999999999</v>
      </c>
      <c r="F26" s="919">
        <v>443.29199999999997</v>
      </c>
      <c r="G26" s="919">
        <v>307.05</v>
      </c>
      <c r="H26" s="919">
        <v>355.57200000000006</v>
      </c>
      <c r="I26" s="919">
        <v>155.352</v>
      </c>
      <c r="J26" s="919">
        <v>1261.2660000000001</v>
      </c>
      <c r="K26" s="1122">
        <v>637.47299999999996</v>
      </c>
      <c r="M26" s="32"/>
      <c r="N26" s="32"/>
    </row>
    <row r="27" spans="1:14" ht="6" customHeight="1">
      <c r="A27" s="91"/>
      <c r="C27" s="431"/>
      <c r="D27" s="47"/>
      <c r="E27" s="92"/>
      <c r="F27" s="92"/>
      <c r="G27" s="92"/>
      <c r="H27" s="92"/>
      <c r="I27" s="92"/>
      <c r="J27" s="92"/>
      <c r="K27" s="92"/>
      <c r="M27" s="62"/>
    </row>
    <row r="28" spans="1:14" s="32" customFormat="1" ht="19.5" customHeight="1">
      <c r="A28" s="34"/>
      <c r="C28" s="341" t="s">
        <v>406</v>
      </c>
      <c r="D28" s="93"/>
      <c r="E28" s="94"/>
      <c r="F28" s="94"/>
      <c r="G28" s="94"/>
      <c r="H28" s="94"/>
      <c r="I28" s="94"/>
      <c r="J28" s="94"/>
      <c r="K28" s="94"/>
      <c r="M28" s="33"/>
    </row>
    <row r="29" spans="1:14" s="32" customFormat="1" ht="19.5" customHeight="1">
      <c r="A29" s="34"/>
      <c r="B29" s="48"/>
      <c r="C29" s="341"/>
      <c r="D29" s="93"/>
      <c r="E29" s="94"/>
      <c r="F29" s="94"/>
      <c r="G29" s="94"/>
      <c r="H29" s="94"/>
      <c r="I29" s="94"/>
      <c r="J29" s="94"/>
      <c r="K29" s="94"/>
      <c r="M29" s="33"/>
    </row>
    <row r="30" spans="1:14" s="32" customFormat="1" ht="19.5" customHeight="1">
      <c r="A30" s="34"/>
      <c r="B30" s="48"/>
      <c r="D30" s="93"/>
      <c r="E30" s="94"/>
      <c r="F30" s="94"/>
      <c r="G30" s="94"/>
      <c r="H30" s="94"/>
      <c r="I30" s="94"/>
      <c r="J30" s="94"/>
      <c r="K30" s="94"/>
      <c r="M30" s="33"/>
    </row>
    <row r="31" spans="1:14" s="32" customFormat="1">
      <c r="A31" s="34"/>
      <c r="C31" s="48"/>
      <c r="D31" s="432"/>
      <c r="E31" s="434"/>
      <c r="F31" s="434"/>
      <c r="G31" s="434"/>
      <c r="H31" s="434"/>
      <c r="I31" s="434"/>
      <c r="J31" s="434"/>
      <c r="K31" s="434"/>
      <c r="L31" s="119"/>
      <c r="M31" s="33"/>
    </row>
    <row r="32" spans="1:14">
      <c r="C32" s="48"/>
      <c r="D32" s="433"/>
      <c r="E32" s="434"/>
      <c r="F32" s="434"/>
      <c r="G32" s="434"/>
      <c r="H32" s="434"/>
      <c r="I32" s="434"/>
      <c r="J32" s="434"/>
      <c r="K32" s="434"/>
      <c r="L32" s="122"/>
    </row>
    <row r="33" spans="3:11">
      <c r="C33" s="48"/>
      <c r="E33" s="95"/>
      <c r="F33" s="95"/>
      <c r="G33" s="95"/>
      <c r="H33" s="95"/>
      <c r="I33" s="95"/>
      <c r="J33" s="95"/>
      <c r="K33" s="95"/>
    </row>
    <row r="34" spans="3:11">
      <c r="C34" s="96"/>
    </row>
  </sheetData>
  <mergeCells count="25">
    <mergeCell ref="C1:D1"/>
    <mergeCell ref="C3:D3"/>
    <mergeCell ref="C11:D11"/>
    <mergeCell ref="C9:D9"/>
    <mergeCell ref="C10:D10"/>
    <mergeCell ref="C18:D18"/>
    <mergeCell ref="K5:K6"/>
    <mergeCell ref="E5:E6"/>
    <mergeCell ref="C12:D12"/>
    <mergeCell ref="C8:D8"/>
    <mergeCell ref="C13:D13"/>
    <mergeCell ref="C14:D14"/>
    <mergeCell ref="C15:D15"/>
    <mergeCell ref="C16:D16"/>
    <mergeCell ref="C17:D17"/>
    <mergeCell ref="F5:I5"/>
    <mergeCell ref="J5:J6"/>
    <mergeCell ref="C26:D26"/>
    <mergeCell ref="C19:D19"/>
    <mergeCell ref="C20:D20"/>
    <mergeCell ref="C22:D22"/>
    <mergeCell ref="C24:D24"/>
    <mergeCell ref="C25:D25"/>
    <mergeCell ref="C23:D23"/>
    <mergeCell ref="C21:D21"/>
  </mergeCells>
  <phoneticPr fontId="2" type="noConversion"/>
  <pageMargins left="0.39370078740157483" right="0.39370078740157483" top="0.62992125984251968" bottom="0.59055118110236227" header="0.15748031496062992" footer="0.15748031496062992"/>
  <pageSetup paperSize="9" scale="64" orientation="landscape" useFirstPageNumber="1" verticalDpi="0" r:id="rId1"/>
  <headerFooter>
    <oddHeader>&amp;R&amp;"Trebuchet MS,보통"&amp;12
www.wooribank.com</oddHeader>
    <oddFooter>&amp;R&amp;"Trebuchet MS,보통"Page 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showGridLines="0" view="pageBreakPreview" zoomScale="91" zoomScaleNormal="90" zoomScaleSheetLayoutView="91" workbookViewId="0">
      <selection activeCell="W19" sqref="W19"/>
    </sheetView>
  </sheetViews>
  <sheetFormatPr defaultRowHeight="9.75"/>
  <cols>
    <col min="1" max="1" width="19" style="109" customWidth="1"/>
    <col min="2" max="2" width="3.85546875" style="109" customWidth="1"/>
    <col min="3" max="3" width="38.28515625" style="109" customWidth="1"/>
    <col min="4" max="7" width="22.42578125" style="109" customWidth="1"/>
    <col min="8" max="19" width="0" style="109" hidden="1" customWidth="1"/>
    <col min="20" max="20" width="0.85546875" style="109" customWidth="1"/>
    <col min="21" max="16384" width="9.140625" style="109"/>
  </cols>
  <sheetData>
    <row r="1" spans="1:24" s="99" customFormat="1" ht="37.5" customHeight="1">
      <c r="A1" s="823"/>
      <c r="B1" s="97"/>
      <c r="C1" s="1307" t="s">
        <v>485</v>
      </c>
      <c r="D1" s="1307"/>
      <c r="E1" s="1307"/>
      <c r="F1" s="130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4" s="99" customFormat="1" ht="19.5">
      <c r="A2" s="435"/>
      <c r="C2" s="100"/>
      <c r="D2" s="100"/>
      <c r="E2" s="100"/>
      <c r="F2" s="100"/>
    </row>
    <row r="3" spans="1:24" s="99" customFormat="1" ht="27.75" customHeight="1">
      <c r="A3" s="435"/>
      <c r="C3" s="933"/>
      <c r="D3" s="932"/>
      <c r="E3" s="932"/>
      <c r="F3" s="932"/>
      <c r="G3" s="932"/>
      <c r="H3" s="104"/>
      <c r="I3" s="104"/>
      <c r="J3" s="104"/>
    </row>
    <row r="4" spans="1:24" s="99" customFormat="1" ht="20.25" customHeight="1">
      <c r="A4" s="435"/>
      <c r="C4" s="101" t="s">
        <v>546</v>
      </c>
      <c r="D4" s="1308" t="s">
        <v>496</v>
      </c>
      <c r="E4" s="1309" t="s">
        <v>486</v>
      </c>
      <c r="F4" s="1310"/>
      <c r="G4" s="1311" t="s">
        <v>487</v>
      </c>
    </row>
    <row r="5" spans="1:24" s="99" customFormat="1" ht="20.25" customHeight="1">
      <c r="A5" s="435"/>
      <c r="C5" s="921" t="s">
        <v>75</v>
      </c>
      <c r="D5" s="1308"/>
      <c r="E5" s="934" t="s">
        <v>457</v>
      </c>
      <c r="F5" s="934" t="s">
        <v>488</v>
      </c>
      <c r="G5" s="1312"/>
      <c r="X5" s="1123"/>
    </row>
    <row r="6" spans="1:24" s="99" customFormat="1" ht="4.5" customHeight="1">
      <c r="A6" s="435"/>
      <c r="D6" s="1306"/>
      <c r="E6" s="1306"/>
      <c r="F6" s="1306"/>
      <c r="G6" s="1306"/>
    </row>
    <row r="7" spans="1:24" s="99" customFormat="1" ht="24.95" customHeight="1">
      <c r="A7" s="435"/>
      <c r="C7" s="946" t="s">
        <v>489</v>
      </c>
      <c r="D7" s="1255">
        <v>1576.383</v>
      </c>
      <c r="E7" s="1256">
        <f>E8+E9</f>
        <v>122.44399999999999</v>
      </c>
      <c r="F7" s="1256">
        <f>F8+F9</f>
        <v>9.6340000000000003</v>
      </c>
      <c r="G7" s="1257">
        <f>G8+G9+1</f>
        <v>1712.3240000000001</v>
      </c>
    </row>
    <row r="8" spans="1:24" s="99" customFormat="1" ht="24.95" customHeight="1">
      <c r="A8" s="435"/>
      <c r="C8" s="679" t="s">
        <v>490</v>
      </c>
      <c r="D8" s="1258">
        <v>1144.4000000000001</v>
      </c>
      <c r="E8" s="1259">
        <v>110.127</v>
      </c>
      <c r="F8" s="1259">
        <v>8.2729999999999997</v>
      </c>
      <c r="G8" s="1260">
        <v>1262.7429999999999</v>
      </c>
    </row>
    <row r="9" spans="1:24" s="99" customFormat="1" ht="24.95" customHeight="1">
      <c r="A9" s="435"/>
      <c r="C9" s="679" t="s">
        <v>491</v>
      </c>
      <c r="D9" s="1258">
        <v>431.983</v>
      </c>
      <c r="E9" s="1259">
        <f>E12-E8-E10-E11</f>
        <v>12.317</v>
      </c>
      <c r="F9" s="1259">
        <f>F12-F8-F10-F11</f>
        <v>1.361</v>
      </c>
      <c r="G9" s="1260">
        <f>G12-G8-G10-G11-1</f>
        <v>448.58100000000002</v>
      </c>
      <c r="H9" s="99">
        <v>129.62799999999999</v>
      </c>
      <c r="I9" s="99">
        <v>129.62799999999999</v>
      </c>
      <c r="J9" s="99">
        <v>129.62799999999999</v>
      </c>
      <c r="K9" s="99">
        <v>129.62799999999999</v>
      </c>
      <c r="L9" s="99">
        <v>129.62799999999999</v>
      </c>
      <c r="M9" s="99">
        <v>129.62799999999999</v>
      </c>
      <c r="N9" s="99">
        <v>129.62799999999999</v>
      </c>
      <c r="O9" s="99">
        <v>129.62799999999999</v>
      </c>
      <c r="P9" s="99">
        <v>129.62799999999999</v>
      </c>
      <c r="Q9" s="99">
        <v>129.62799999999999</v>
      </c>
      <c r="R9" s="99">
        <v>129.62799999999999</v>
      </c>
      <c r="S9" s="99">
        <v>129.62799999999999</v>
      </c>
      <c r="T9" s="99">
        <v>129.62799999999999</v>
      </c>
      <c r="X9" s="1123"/>
    </row>
    <row r="10" spans="1:24" s="99" customFormat="1" ht="24.95" customHeight="1">
      <c r="A10" s="435"/>
      <c r="C10" s="679" t="s">
        <v>492</v>
      </c>
      <c r="D10" s="1261">
        <v>-706.41700000000003</v>
      </c>
      <c r="E10" s="1259">
        <v>-39.122999999999998</v>
      </c>
      <c r="F10" s="1259">
        <v>-4.3879999999999999</v>
      </c>
      <c r="G10" s="1260">
        <v>-754.27099999999996</v>
      </c>
      <c r="H10" s="104"/>
      <c r="I10" s="104"/>
      <c r="J10" s="104"/>
    </row>
    <row r="11" spans="1:24" s="99" customFormat="1" ht="24.95" customHeight="1">
      <c r="A11" s="435"/>
      <c r="C11" s="679" t="s">
        <v>293</v>
      </c>
      <c r="D11" s="1261">
        <v>-34.530999999999999</v>
      </c>
      <c r="E11" s="1259">
        <v>-44.445999999999998</v>
      </c>
      <c r="F11" s="1259">
        <v>-0.313</v>
      </c>
      <c r="G11" s="1260">
        <v>-79.313000000000002</v>
      </c>
      <c r="H11" s="104"/>
      <c r="I11" s="104"/>
      <c r="J11" s="104"/>
    </row>
    <row r="12" spans="1:24" s="99" customFormat="1" ht="24.95" customHeight="1">
      <c r="A12" s="435"/>
      <c r="C12" s="946" t="s">
        <v>73</v>
      </c>
      <c r="D12" s="1255">
        <v>835.43499999999995</v>
      </c>
      <c r="E12" s="1256">
        <v>38.875</v>
      </c>
      <c r="F12" s="1256">
        <v>4.9329999999999998</v>
      </c>
      <c r="G12" s="1257">
        <v>878.74</v>
      </c>
      <c r="H12" s="104"/>
      <c r="I12" s="104"/>
      <c r="J12" s="104"/>
      <c r="T12" s="1123"/>
      <c r="U12" s="1123"/>
      <c r="V12" s="1123"/>
    </row>
    <row r="13" spans="1:24" s="99" customFormat="1" ht="24.95" customHeight="1">
      <c r="A13" s="435"/>
      <c r="C13" s="946" t="s">
        <v>68</v>
      </c>
      <c r="D13" s="1255">
        <v>-50.600999999999999</v>
      </c>
      <c r="E13" s="1256">
        <v>-0.158</v>
      </c>
      <c r="F13" s="1256">
        <v>-9.1999999999999998E-2</v>
      </c>
      <c r="G13" s="1257">
        <v>-50.146000000000001</v>
      </c>
      <c r="H13" s="104"/>
      <c r="I13" s="104"/>
      <c r="J13" s="104"/>
    </row>
    <row r="14" spans="1:24" s="99" customFormat="1" ht="24.95" customHeight="1">
      <c r="A14" s="435"/>
      <c r="C14" s="922" t="s">
        <v>493</v>
      </c>
      <c r="D14" s="1262">
        <v>819.36500000000001</v>
      </c>
      <c r="E14" s="1263">
        <f t="shared" ref="E14" si="0">E12+E13-E11</f>
        <v>83.162999999999997</v>
      </c>
      <c r="F14" s="1263">
        <f t="shared" ref="F14:G14" si="1">F12+F13-F11</f>
        <v>5.1539999999999999</v>
      </c>
      <c r="G14" s="1257">
        <f t="shared" si="1"/>
        <v>907.90700000000004</v>
      </c>
      <c r="H14" s="104"/>
      <c r="I14" s="104"/>
      <c r="J14" s="104"/>
    </row>
    <row r="15" spans="1:24" s="99" customFormat="1" ht="24.95" customHeight="1">
      <c r="A15" s="435"/>
      <c r="C15" s="946" t="s">
        <v>494</v>
      </c>
      <c r="D15" s="1255">
        <v>784.83399999999995</v>
      </c>
      <c r="E15" s="1256">
        <f t="shared" ref="E15" si="2">+E12+E13</f>
        <v>38.716999999999999</v>
      </c>
      <c r="F15" s="1256">
        <f t="shared" ref="F15:G15" si="3">+F12+F13</f>
        <v>4.8410000000000002</v>
      </c>
      <c r="G15" s="1257">
        <f t="shared" si="3"/>
        <v>828.59400000000005</v>
      </c>
      <c r="H15" s="104"/>
      <c r="I15" s="104"/>
      <c r="J15" s="104"/>
      <c r="X15" s="1123"/>
    </row>
    <row r="16" spans="1:24" s="99" customFormat="1" ht="24.95" customHeight="1" thickBot="1">
      <c r="A16" s="435"/>
      <c r="C16" s="680" t="s">
        <v>495</v>
      </c>
      <c r="D16" s="1264">
        <v>605.70500000000004</v>
      </c>
      <c r="E16" s="1265">
        <v>29.288</v>
      </c>
      <c r="F16" s="1265">
        <v>4.2080000000000002</v>
      </c>
      <c r="G16" s="1266">
        <v>637.47299999999996</v>
      </c>
      <c r="H16" s="104"/>
      <c r="I16" s="104"/>
      <c r="J16" s="104"/>
    </row>
    <row r="17" spans="1:26" s="99" customFormat="1" ht="17.25" customHeight="1">
      <c r="A17" s="435"/>
      <c r="C17" s="341" t="s">
        <v>406</v>
      </c>
      <c r="D17" s="932"/>
      <c r="E17" s="932"/>
      <c r="F17" s="932"/>
      <c r="G17" s="932"/>
      <c r="H17" s="1063"/>
      <c r="I17" s="1063"/>
      <c r="J17" s="1063"/>
    </row>
    <row r="18" spans="1:26" s="99" customFormat="1" ht="17.25" customHeight="1">
      <c r="A18" s="435"/>
      <c r="C18" s="341" t="s">
        <v>497</v>
      </c>
      <c r="D18" s="932"/>
      <c r="E18" s="932"/>
      <c r="F18" s="932"/>
      <c r="G18" s="932"/>
      <c r="H18" s="1063"/>
      <c r="I18" s="1063"/>
      <c r="J18" s="1063"/>
    </row>
    <row r="19" spans="1:26" s="99" customFormat="1" ht="23.25" customHeight="1">
      <c r="A19" s="435"/>
      <c r="C19" s="933"/>
      <c r="D19" s="932"/>
      <c r="E19" s="932"/>
      <c r="F19" s="932"/>
      <c r="G19" s="932"/>
      <c r="H19" s="1063"/>
      <c r="I19" s="1063"/>
      <c r="J19" s="1063"/>
      <c r="Y19" s="1123"/>
    </row>
    <row r="20" spans="1:26" s="99" customFormat="1" ht="23.25" customHeight="1">
      <c r="A20" s="435"/>
      <c r="C20" s="933"/>
      <c r="D20" s="932"/>
      <c r="E20" s="932"/>
      <c r="F20" s="932"/>
      <c r="G20" s="932"/>
      <c r="H20" s="1063"/>
      <c r="I20" s="1063"/>
      <c r="J20" s="1063"/>
    </row>
    <row r="21" spans="1:26" s="99" customFormat="1" ht="23.25" customHeight="1">
      <c r="A21" s="435"/>
      <c r="C21" s="933"/>
      <c r="D21" s="932"/>
      <c r="E21" s="932"/>
      <c r="F21" s="932"/>
      <c r="G21" s="932"/>
      <c r="H21" s="1063"/>
      <c r="I21" s="1063"/>
      <c r="J21" s="1063"/>
    </row>
    <row r="22" spans="1:26" s="99" customFormat="1" ht="23.25" customHeight="1">
      <c r="A22" s="435"/>
      <c r="C22" s="933"/>
      <c r="D22" s="932"/>
      <c r="E22" s="932"/>
      <c r="F22" s="932"/>
      <c r="G22" s="932"/>
      <c r="H22" s="1063"/>
      <c r="I22" s="1063"/>
      <c r="J22" s="1063"/>
      <c r="X22" s="1123"/>
      <c r="Y22" s="1123"/>
      <c r="Z22" s="1123"/>
    </row>
    <row r="23" spans="1:26" s="99" customFormat="1" ht="23.25" customHeight="1">
      <c r="A23" s="435"/>
      <c r="C23" s="933"/>
      <c r="D23" s="932"/>
      <c r="E23" s="932"/>
      <c r="F23" s="932"/>
      <c r="G23" s="932"/>
      <c r="H23" s="1063"/>
      <c r="I23" s="1063"/>
      <c r="J23" s="1063"/>
      <c r="V23" s="1123"/>
      <c r="W23" s="1123"/>
      <c r="X23" s="1123"/>
      <c r="Y23" s="1123"/>
      <c r="Z23" s="1123"/>
    </row>
    <row r="24" spans="1:26" s="99" customFormat="1" ht="23.25" customHeight="1">
      <c r="A24" s="435"/>
      <c r="C24" s="933"/>
      <c r="D24" s="932"/>
      <c r="E24" s="932"/>
      <c r="F24" s="932"/>
      <c r="G24" s="932"/>
      <c r="H24" s="1063"/>
      <c r="I24" s="1063"/>
      <c r="J24" s="1063"/>
      <c r="V24" s="1123"/>
      <c r="W24" s="1123"/>
      <c r="X24" s="1123"/>
      <c r="Y24" s="1123"/>
      <c r="Z24" s="1123"/>
    </row>
    <row r="25" spans="1:26" s="99" customFormat="1" ht="23.25" customHeight="1">
      <c r="A25" s="435"/>
      <c r="C25" s="933"/>
      <c r="D25" s="932"/>
      <c r="E25" s="932"/>
      <c r="F25" s="932"/>
      <c r="G25" s="932"/>
      <c r="H25" s="1063"/>
      <c r="I25" s="1063"/>
      <c r="J25" s="1063"/>
      <c r="V25" s="1123"/>
      <c r="W25" s="1123"/>
      <c r="X25" s="1123"/>
      <c r="Y25" s="1123"/>
    </row>
    <row r="26" spans="1:26" s="99" customFormat="1" ht="23.25" customHeight="1">
      <c r="A26" s="435"/>
      <c r="C26" s="933"/>
      <c r="D26" s="932"/>
      <c r="E26" s="1124"/>
      <c r="F26" s="932"/>
      <c r="G26" s="932"/>
      <c r="H26" s="1063"/>
      <c r="I26" s="1063"/>
      <c r="J26" s="1063"/>
      <c r="V26" s="1123"/>
    </row>
    <row r="27" spans="1:26" s="99" customFormat="1" ht="17.25" customHeight="1">
      <c r="A27" s="103"/>
      <c r="C27" s="341"/>
      <c r="D27" s="341"/>
      <c r="E27" s="1124"/>
      <c r="F27" s="341"/>
      <c r="G27" s="341"/>
      <c r="H27" s="104"/>
      <c r="I27" s="104"/>
      <c r="J27" s="104"/>
    </row>
    <row r="28" spans="1:26" s="99" customFormat="1" ht="17.25" customHeight="1">
      <c r="A28" s="103"/>
      <c r="C28" s="341"/>
      <c r="D28" s="436"/>
      <c r="E28" s="436"/>
      <c r="F28" s="436"/>
      <c r="G28" s="436"/>
      <c r="H28" s="104"/>
      <c r="I28" s="104"/>
      <c r="J28" s="104"/>
    </row>
    <row r="29" spans="1:26" s="99" customFormat="1" ht="11.25" customHeight="1">
      <c r="A29" s="103"/>
      <c r="C29" s="102"/>
      <c r="D29" s="105"/>
      <c r="E29" s="104"/>
      <c r="F29" s="104"/>
      <c r="G29" s="104"/>
      <c r="H29" s="104"/>
      <c r="I29" s="104"/>
      <c r="J29" s="104"/>
    </row>
    <row r="30" spans="1:26" s="108" customFormat="1">
      <c r="A30" s="109"/>
      <c r="B30" s="109"/>
      <c r="C30" s="109"/>
      <c r="D30" s="109"/>
      <c r="E30" s="109"/>
      <c r="F30" s="109"/>
    </row>
    <row r="31" spans="1:26" s="108" customFormat="1">
      <c r="A31" s="109"/>
      <c r="B31" s="109"/>
      <c r="C31" s="109"/>
      <c r="D31" s="109"/>
      <c r="E31" s="109"/>
      <c r="F31" s="109"/>
    </row>
    <row r="32" spans="1:26" s="108" customFormat="1">
      <c r="A32" s="109"/>
      <c r="B32" s="109"/>
      <c r="C32" s="109"/>
      <c r="D32" s="109"/>
      <c r="E32" s="109"/>
      <c r="F32" s="109"/>
    </row>
    <row r="33" spans="1:6" s="108" customFormat="1">
      <c r="A33" s="109"/>
      <c r="B33" s="109"/>
      <c r="C33" s="109"/>
      <c r="D33" s="109"/>
      <c r="E33" s="109"/>
      <c r="F33" s="109"/>
    </row>
    <row r="34" spans="1:6" s="108" customFormat="1">
      <c r="A34" s="109"/>
      <c r="B34" s="109"/>
      <c r="C34" s="109"/>
      <c r="D34" s="109"/>
      <c r="E34" s="109"/>
      <c r="F34" s="109"/>
    </row>
    <row r="35" spans="1:6" s="108" customFormat="1" ht="12.75">
      <c r="A35" s="109"/>
      <c r="B35" s="109"/>
      <c r="C35" s="1123"/>
      <c r="D35" s="109"/>
      <c r="E35" s="109"/>
      <c r="F35" s="109"/>
    </row>
    <row r="36" spans="1:6" s="108" customFormat="1">
      <c r="A36" s="109"/>
      <c r="B36" s="109"/>
      <c r="C36" s="109"/>
      <c r="D36" s="109"/>
      <c r="E36" s="109"/>
      <c r="F36" s="109"/>
    </row>
    <row r="37" spans="1:6" s="108" customFormat="1">
      <c r="A37" s="109"/>
      <c r="B37" s="109"/>
      <c r="C37" s="109"/>
      <c r="D37" s="109"/>
      <c r="E37" s="109"/>
      <c r="F37" s="109"/>
    </row>
    <row r="38" spans="1:6" s="108" customFormat="1">
      <c r="A38" s="109"/>
      <c r="B38" s="109"/>
      <c r="C38" s="109"/>
      <c r="D38" s="109"/>
      <c r="E38" s="109"/>
      <c r="F38" s="109"/>
    </row>
    <row r="39" spans="1:6" s="108" customFormat="1">
      <c r="A39" s="109"/>
      <c r="B39" s="109"/>
      <c r="C39" s="109"/>
      <c r="D39" s="109"/>
      <c r="E39" s="109"/>
      <c r="F39" s="109"/>
    </row>
    <row r="40" spans="1:6" s="108" customFormat="1">
      <c r="A40" s="109"/>
      <c r="B40" s="109"/>
      <c r="C40" s="109"/>
      <c r="D40" s="109"/>
      <c r="E40" s="109"/>
      <c r="F40" s="109"/>
    </row>
    <row r="41" spans="1:6" s="108" customFormat="1">
      <c r="A41" s="109"/>
      <c r="B41" s="109"/>
      <c r="C41" s="109"/>
      <c r="D41" s="109"/>
      <c r="E41" s="109"/>
      <c r="F41" s="109"/>
    </row>
    <row r="42" spans="1:6" s="108" customFormat="1">
      <c r="A42" s="109"/>
      <c r="B42" s="109"/>
      <c r="C42" s="109"/>
      <c r="D42" s="109"/>
      <c r="E42" s="109"/>
      <c r="F42" s="109"/>
    </row>
    <row r="43" spans="1:6" s="108" customFormat="1">
      <c r="A43" s="109"/>
      <c r="B43" s="109"/>
      <c r="C43" s="109"/>
      <c r="D43" s="109"/>
      <c r="E43" s="109"/>
      <c r="F43" s="109"/>
    </row>
    <row r="44" spans="1:6" s="108" customFormat="1">
      <c r="A44" s="109"/>
      <c r="B44" s="109"/>
      <c r="C44" s="109"/>
      <c r="D44" s="109"/>
      <c r="E44" s="109"/>
      <c r="F44" s="109"/>
    </row>
    <row r="45" spans="1:6" s="108" customFormat="1">
      <c r="A45" s="109"/>
      <c r="B45" s="109"/>
      <c r="C45" s="109"/>
      <c r="D45" s="109"/>
      <c r="E45" s="109"/>
      <c r="F45" s="109"/>
    </row>
    <row r="46" spans="1:6" s="108" customFormat="1">
      <c r="A46" s="109"/>
      <c r="B46" s="109"/>
      <c r="C46" s="109"/>
      <c r="D46" s="109"/>
      <c r="E46" s="109"/>
      <c r="F46" s="109"/>
    </row>
    <row r="47" spans="1:6" s="108" customFormat="1">
      <c r="A47" s="109"/>
      <c r="B47" s="109"/>
      <c r="C47" s="109"/>
      <c r="D47" s="109"/>
      <c r="E47" s="109"/>
      <c r="F47" s="109"/>
    </row>
  </sheetData>
  <mergeCells count="5">
    <mergeCell ref="D6:G6"/>
    <mergeCell ref="C1:F1"/>
    <mergeCell ref="D4:D5"/>
    <mergeCell ref="E4:F4"/>
    <mergeCell ref="G4:G5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80" orientation="landscape" useFirstPageNumber="1" verticalDpi="0" r:id="rId1"/>
  <headerFooter>
    <oddHeader>&amp;R&amp;"Trebuchet MS,보통"&amp;12
www.wooribank.com</oddHeader>
    <oddFooter>&amp;R&amp;"Trebuchet MS,보통"Page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showGridLines="0" view="pageBreakPreview" zoomScale="90" zoomScaleNormal="100" zoomScaleSheetLayoutView="90" workbookViewId="0"/>
  </sheetViews>
  <sheetFormatPr defaultRowHeight="8.25"/>
  <cols>
    <col min="1" max="1" width="17.85546875" style="117" customWidth="1"/>
    <col min="2" max="2" width="6.140625" style="117" customWidth="1"/>
    <col min="3" max="3" width="26.7109375" style="134" customWidth="1"/>
    <col min="4" max="4" width="12.7109375" style="117" customWidth="1"/>
    <col min="5" max="5" width="0.85546875" style="117" customWidth="1"/>
    <col min="6" max="6" width="12.7109375" style="117" customWidth="1"/>
    <col min="7" max="7" width="1.42578125" style="117" customWidth="1"/>
    <col min="8" max="8" width="12.7109375" style="117" customWidth="1"/>
    <col min="9" max="9" width="1.28515625" style="117" customWidth="1"/>
    <col min="10" max="10" width="12.7109375" style="117" customWidth="1"/>
    <col min="11" max="11" width="1.42578125" style="117" customWidth="1"/>
    <col min="12" max="12" width="12.7109375" style="117" customWidth="1"/>
    <col min="13" max="13" width="1.28515625" style="117" customWidth="1"/>
    <col min="14" max="14" width="12.7109375" style="117" customWidth="1"/>
    <col min="15" max="15" width="2" style="135" customWidth="1"/>
    <col min="16" max="16" width="1.140625" style="117" customWidth="1"/>
    <col min="17" max="17" width="5.5703125" style="117" customWidth="1"/>
    <col min="18" max="18" width="1.140625" style="117" customWidth="1"/>
    <col min="19" max="19" width="4.7109375" style="117" customWidth="1"/>
    <col min="20" max="20" width="1.140625" style="117" customWidth="1"/>
    <col min="21" max="22" width="4" style="117" customWidth="1"/>
    <col min="23" max="23" width="1.42578125" style="117" hidden="1" customWidth="1"/>
    <col min="24" max="24" width="4.28515625" style="117" customWidth="1"/>
    <col min="25" max="25" width="1.140625" style="117" customWidth="1"/>
    <col min="26" max="26" width="5.5703125" style="117" customWidth="1"/>
    <col min="27" max="27" width="1.140625" style="117" customWidth="1"/>
    <col min="28" max="28" width="4.7109375" style="117" customWidth="1"/>
    <col min="29" max="29" width="1.140625" style="117" customWidth="1"/>
    <col min="30" max="30" width="3.7109375" style="117" customWidth="1"/>
    <col min="31" max="31" width="4" style="117" customWidth="1"/>
    <col min="32" max="16384" width="9.140625" style="117"/>
  </cols>
  <sheetData>
    <row r="1" spans="1:31" s="113" customFormat="1" ht="30" customHeight="1">
      <c r="A1" s="824"/>
      <c r="B1" s="110"/>
      <c r="C1" s="628" t="s">
        <v>441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1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</row>
    <row r="2" spans="1:31" s="113" customFormat="1" ht="8.25" customHeight="1">
      <c r="A2" s="114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</row>
    <row r="3" spans="1:31" s="113" customFormat="1" ht="6.75" customHeight="1">
      <c r="A3" s="114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</row>
    <row r="4" spans="1:31" s="113" customFormat="1" ht="15" customHeight="1">
      <c r="A4" s="114"/>
      <c r="C4" s="115" t="s">
        <v>407</v>
      </c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</row>
    <row r="5" spans="1:31" s="113" customFormat="1" ht="7.5" customHeight="1">
      <c r="A5" s="114"/>
      <c r="C5" s="115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</row>
    <row r="6" spans="1:31" s="113" customFormat="1" ht="8.25" customHeight="1">
      <c r="A6" s="114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</row>
    <row r="7" spans="1:31" ht="16.5" customHeight="1">
      <c r="A7" s="116"/>
      <c r="C7" s="118"/>
      <c r="D7" s="1313" t="s">
        <v>528</v>
      </c>
      <c r="E7" s="1313"/>
      <c r="F7" s="1314"/>
      <c r="G7" s="576"/>
      <c r="H7" s="1313" t="s">
        <v>523</v>
      </c>
      <c r="I7" s="1313"/>
      <c r="J7" s="1314"/>
      <c r="K7" s="576"/>
      <c r="L7" s="1313" t="s">
        <v>524</v>
      </c>
      <c r="M7" s="1313"/>
      <c r="N7" s="1314"/>
      <c r="O7" s="1315"/>
      <c r="P7" s="1315"/>
      <c r="Q7" s="1315"/>
      <c r="R7" s="1315"/>
      <c r="S7" s="1315"/>
      <c r="T7" s="1315"/>
      <c r="U7" s="1315"/>
      <c r="V7" s="1315"/>
      <c r="W7" s="119"/>
      <c r="X7" s="1315"/>
      <c r="Y7" s="1315"/>
      <c r="Z7" s="1315"/>
      <c r="AA7" s="1315"/>
      <c r="AB7" s="1315"/>
      <c r="AC7" s="1315"/>
      <c r="AD7" s="1315"/>
      <c r="AE7" s="1315"/>
    </row>
    <row r="8" spans="1:31" ht="16.5" customHeight="1">
      <c r="A8" s="116"/>
      <c r="C8" s="486" t="s">
        <v>76</v>
      </c>
      <c r="D8" s="577" t="s">
        <v>359</v>
      </c>
      <c r="E8" s="578"/>
      <c r="F8" s="579" t="s">
        <v>229</v>
      </c>
      <c r="G8" s="580"/>
      <c r="H8" s="577" t="s">
        <v>359</v>
      </c>
      <c r="I8" s="578"/>
      <c r="J8" s="579" t="s">
        <v>229</v>
      </c>
      <c r="K8" s="580"/>
      <c r="L8" s="577" t="s">
        <v>359</v>
      </c>
      <c r="M8" s="578"/>
      <c r="N8" s="579" t="s">
        <v>229</v>
      </c>
      <c r="O8" s="120"/>
      <c r="P8" s="120"/>
      <c r="Q8" s="121"/>
      <c r="R8" s="120"/>
      <c r="S8" s="121"/>
      <c r="T8" s="120"/>
      <c r="U8" s="120"/>
      <c r="V8" s="106"/>
      <c r="W8" s="119"/>
      <c r="X8" s="120"/>
      <c r="Y8" s="120"/>
      <c r="Z8" s="121"/>
      <c r="AA8" s="120"/>
      <c r="AB8" s="121"/>
      <c r="AC8" s="120"/>
      <c r="AD8" s="120"/>
      <c r="AE8" s="106"/>
    </row>
    <row r="9" spans="1:31" ht="28.5" customHeight="1">
      <c r="A9" s="116"/>
      <c r="C9" s="679" t="s">
        <v>358</v>
      </c>
      <c r="D9" s="1125">
        <v>82358.38</v>
      </c>
      <c r="E9" s="1019"/>
      <c r="F9" s="1053">
        <f>D9/$D$14</f>
        <v>0.41633411981891866</v>
      </c>
      <c r="G9" s="569"/>
      <c r="H9" s="1125">
        <v>84819.664000000004</v>
      </c>
      <c r="I9" s="568"/>
      <c r="J9" s="682">
        <f>H9/$H$14</f>
        <v>0.43000280897076409</v>
      </c>
      <c r="K9" s="569"/>
      <c r="L9" s="567">
        <v>80007.717999999993</v>
      </c>
      <c r="M9" s="568"/>
      <c r="N9" s="682">
        <f>L9/$L$14</f>
        <v>0.40518860606515111</v>
      </c>
      <c r="O9" s="122"/>
      <c r="P9" s="122"/>
      <c r="Q9" s="123"/>
      <c r="R9" s="122"/>
      <c r="S9" s="122"/>
      <c r="T9" s="122"/>
      <c r="U9" s="124"/>
      <c r="V9" s="125"/>
      <c r="W9" s="122"/>
      <c r="X9" s="122"/>
      <c r="Y9" s="122"/>
      <c r="Z9" s="122"/>
      <c r="AA9" s="122"/>
      <c r="AB9" s="122"/>
      <c r="AC9" s="122"/>
      <c r="AD9" s="122"/>
      <c r="AE9" s="125"/>
    </row>
    <row r="10" spans="1:31" ht="28.5" customHeight="1">
      <c r="A10" s="116"/>
      <c r="C10" s="679" t="s">
        <v>448</v>
      </c>
      <c r="D10" s="1125">
        <v>111488.391</v>
      </c>
      <c r="E10" s="1019"/>
      <c r="F10" s="1053">
        <f>D10/$D$14</f>
        <v>0.56359074980606039</v>
      </c>
      <c r="G10" s="569"/>
      <c r="H10" s="1125">
        <v>108541.77499999999</v>
      </c>
      <c r="I10" s="568"/>
      <c r="J10" s="682">
        <f t="shared" ref="J10:J14" si="0">H10/$H$14</f>
        <v>0.55026471386013331</v>
      </c>
      <c r="K10" s="569"/>
      <c r="L10" s="567">
        <v>113437.94899999999</v>
      </c>
      <c r="M10" s="568"/>
      <c r="N10" s="682">
        <f t="shared" ref="N10:N14" si="1">L10/$L$14</f>
        <v>0.57449163129736691</v>
      </c>
      <c r="O10" s="122"/>
      <c r="P10" s="122"/>
      <c r="Q10" s="123"/>
      <c r="R10" s="122"/>
      <c r="S10" s="122"/>
      <c r="T10" s="122"/>
      <c r="U10" s="124"/>
      <c r="V10" s="125"/>
      <c r="W10" s="122"/>
      <c r="X10" s="122"/>
      <c r="Y10" s="122"/>
      <c r="Z10" s="122"/>
      <c r="AA10" s="122"/>
      <c r="AB10" s="122"/>
      <c r="AC10" s="122"/>
      <c r="AD10" s="122"/>
      <c r="AE10" s="125"/>
    </row>
    <row r="11" spans="1:31" ht="28.5" customHeight="1">
      <c r="A11" s="116"/>
      <c r="C11" s="679" t="s">
        <v>77</v>
      </c>
      <c r="D11" s="1125">
        <v>103279.44</v>
      </c>
      <c r="E11" s="1019"/>
      <c r="F11" s="1053">
        <f>D11/$D$14</f>
        <v>0.52209325569287324</v>
      </c>
      <c r="G11" s="569"/>
      <c r="H11" s="1125">
        <v>101147.442</v>
      </c>
      <c r="I11" s="568"/>
      <c r="J11" s="682">
        <f t="shared" si="0"/>
        <v>0.51277831258807438</v>
      </c>
      <c r="K11" s="569"/>
      <c r="L11" s="567">
        <v>106093.34699999999</v>
      </c>
      <c r="M11" s="568"/>
      <c r="N11" s="682">
        <f t="shared" si="1"/>
        <v>0.53729585667868174</v>
      </c>
      <c r="O11" s="122"/>
      <c r="P11" s="122"/>
      <c r="Q11" s="123"/>
      <c r="R11" s="122"/>
      <c r="S11" s="122"/>
      <c r="T11" s="122"/>
      <c r="U11" s="124"/>
      <c r="V11" s="125"/>
      <c r="W11" s="122"/>
      <c r="X11" s="122"/>
      <c r="Y11" s="122"/>
      <c r="Z11" s="122"/>
      <c r="AA11" s="122"/>
      <c r="AB11" s="122"/>
      <c r="AC11" s="122"/>
      <c r="AD11" s="122"/>
      <c r="AE11" s="125"/>
    </row>
    <row r="12" spans="1:31" ht="28.5" customHeight="1">
      <c r="A12" s="116"/>
      <c r="C12" s="679" t="s">
        <v>446</v>
      </c>
      <c r="D12" s="1125">
        <v>3971.223</v>
      </c>
      <c r="E12" s="1019"/>
      <c r="F12" s="1053">
        <f>D12/$D$14</f>
        <v>2.0075135430172929E-2</v>
      </c>
      <c r="G12" s="569"/>
      <c r="H12" s="1125">
        <v>3892.3049999999998</v>
      </c>
      <c r="I12" s="568"/>
      <c r="J12" s="682">
        <f t="shared" si="0"/>
        <v>1.9732477169102553E-2</v>
      </c>
      <c r="K12" s="569"/>
      <c r="L12" s="567">
        <v>4012.299</v>
      </c>
      <c r="M12" s="568"/>
      <c r="N12" s="682">
        <f t="shared" si="1"/>
        <v>2.0319762637482048E-2</v>
      </c>
      <c r="O12" s="122"/>
      <c r="P12" s="122"/>
      <c r="Q12" s="123"/>
      <c r="R12" s="122"/>
      <c r="S12" s="122"/>
      <c r="T12" s="122"/>
      <c r="U12" s="124"/>
      <c r="V12" s="125"/>
      <c r="W12" s="122"/>
      <c r="X12" s="122"/>
      <c r="Y12" s="122"/>
      <c r="Z12" s="122"/>
      <c r="AA12" s="122"/>
      <c r="AB12" s="122"/>
      <c r="AC12" s="122"/>
      <c r="AD12" s="122"/>
      <c r="AE12" s="125"/>
    </row>
    <row r="13" spans="1:31" ht="28.5" customHeight="1">
      <c r="A13" s="116"/>
      <c r="C13" s="681" t="s">
        <v>78</v>
      </c>
      <c r="D13" s="1126">
        <v>3627.4319999999998</v>
      </c>
      <c r="E13" s="1020"/>
      <c r="F13" s="1053">
        <f>D13/$D$14</f>
        <v>1.8337219708825982E-2</v>
      </c>
      <c r="G13" s="572"/>
      <c r="H13" s="1126">
        <v>3758.8049999999998</v>
      </c>
      <c r="I13" s="571"/>
      <c r="J13" s="682">
        <f t="shared" si="0"/>
        <v>1.9055683931657082E-2</v>
      </c>
      <c r="K13" s="572"/>
      <c r="L13" s="570">
        <v>3777.078</v>
      </c>
      <c r="M13" s="571"/>
      <c r="N13" s="682">
        <f t="shared" si="1"/>
        <v>1.9128516699093316E-2</v>
      </c>
      <c r="O13" s="122"/>
      <c r="P13" s="122"/>
      <c r="Q13" s="123"/>
      <c r="R13" s="122"/>
      <c r="S13" s="122"/>
      <c r="T13" s="122"/>
      <c r="U13" s="124"/>
      <c r="V13" s="125"/>
      <c r="W13" s="122"/>
      <c r="X13" s="122"/>
      <c r="Y13" s="122"/>
      <c r="Z13" s="122"/>
      <c r="AA13" s="122"/>
      <c r="AB13" s="122"/>
      <c r="AC13" s="122"/>
      <c r="AD13" s="122"/>
      <c r="AE13" s="125"/>
    </row>
    <row r="14" spans="1:31" ht="28.5" customHeight="1" thickBot="1">
      <c r="A14" s="116"/>
      <c r="C14" s="680" t="s">
        <v>79</v>
      </c>
      <c r="D14" s="1021">
        <v>197817.99299999999</v>
      </c>
      <c r="E14" s="1022">
        <f>E9+E10+E12</f>
        <v>0</v>
      </c>
      <c r="F14" s="1054">
        <f>F9+F10+F12</f>
        <v>1.0000000050551521</v>
      </c>
      <c r="G14" s="575"/>
      <c r="H14" s="1065">
        <f>H9+H10+H12</f>
        <v>197253.74400000001</v>
      </c>
      <c r="I14" s="574">
        <f>I9+I10+I12</f>
        <v>0</v>
      </c>
      <c r="J14" s="683">
        <f t="shared" si="0"/>
        <v>1</v>
      </c>
      <c r="K14" s="575"/>
      <c r="L14" s="573">
        <f>L9+L10+L12</f>
        <v>197457.96599999999</v>
      </c>
      <c r="M14" s="574">
        <f>M9+M10+M12</f>
        <v>0</v>
      </c>
      <c r="N14" s="683">
        <f t="shared" si="1"/>
        <v>1</v>
      </c>
      <c r="O14" s="122"/>
      <c r="P14" s="122"/>
      <c r="Q14" s="123"/>
      <c r="R14" s="122"/>
      <c r="S14" s="122"/>
      <c r="T14" s="122"/>
      <c r="U14" s="127"/>
      <c r="V14" s="128"/>
      <c r="W14" s="122"/>
      <c r="X14" s="122"/>
      <c r="Y14" s="122"/>
      <c r="Z14" s="122"/>
      <c r="AA14" s="122"/>
      <c r="AB14" s="122"/>
      <c r="AC14" s="122"/>
      <c r="AD14" s="122"/>
      <c r="AE14" s="128"/>
    </row>
    <row r="15" spans="1:31" ht="16.5" customHeight="1">
      <c r="A15" s="116"/>
      <c r="C15" s="437"/>
      <c r="D15" s="129"/>
      <c r="E15" s="129"/>
      <c r="F15" s="130"/>
      <c r="G15" s="122"/>
      <c r="H15" s="129"/>
      <c r="I15" s="129"/>
      <c r="J15" s="130"/>
      <c r="K15" s="122"/>
      <c r="L15" s="129"/>
      <c r="M15" s="129"/>
      <c r="N15" s="130"/>
      <c r="O15" s="122"/>
      <c r="P15" s="122"/>
      <c r="Q15" s="122"/>
      <c r="R15" s="122"/>
      <c r="S15" s="122"/>
      <c r="T15" s="122"/>
      <c r="U15" s="127"/>
      <c r="V15" s="128"/>
      <c r="W15" s="122"/>
      <c r="X15" s="122"/>
      <c r="Y15" s="122"/>
      <c r="Z15" s="122"/>
      <c r="AA15" s="122"/>
      <c r="AB15" s="122"/>
      <c r="AC15" s="122"/>
      <c r="AD15" s="122"/>
      <c r="AE15" s="128"/>
    </row>
    <row r="16" spans="1:31" ht="16.5" customHeight="1">
      <c r="A16" s="116"/>
      <c r="C16" s="131"/>
      <c r="D16" s="132"/>
      <c r="E16" s="132"/>
      <c r="F16" s="133"/>
      <c r="G16" s="132"/>
      <c r="H16" s="132" t="s">
        <v>0</v>
      </c>
      <c r="I16" s="132"/>
      <c r="J16" s="132"/>
      <c r="K16" s="132"/>
      <c r="L16" s="132" t="s">
        <v>0</v>
      </c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</row>
    <row r="17" spans="1:31" ht="16.5" customHeight="1">
      <c r="A17" s="116"/>
      <c r="C17" s="118"/>
      <c r="D17" s="1313" t="s">
        <v>525</v>
      </c>
      <c r="E17" s="1313"/>
      <c r="F17" s="1314"/>
      <c r="G17" s="576"/>
      <c r="H17" s="1313" t="s">
        <v>526</v>
      </c>
      <c r="I17" s="1313"/>
      <c r="J17" s="1314"/>
      <c r="K17" s="576"/>
      <c r="L17" s="1313" t="s">
        <v>527</v>
      </c>
      <c r="M17" s="1313"/>
      <c r="N17" s="1314"/>
      <c r="O17" s="132"/>
      <c r="P17" s="132"/>
      <c r="Q17" s="132"/>
      <c r="R17" s="132"/>
      <c r="S17" s="132"/>
      <c r="T17" s="132"/>
      <c r="U17" s="132"/>
      <c r="V17" s="132"/>
      <c r="W17" s="113"/>
      <c r="X17" s="113"/>
      <c r="Y17" s="113"/>
      <c r="Z17" s="113"/>
      <c r="AA17" s="113"/>
      <c r="AB17" s="113"/>
      <c r="AC17" s="113"/>
      <c r="AD17" s="113"/>
      <c r="AE17" s="113"/>
    </row>
    <row r="18" spans="1:31" ht="16.5" customHeight="1">
      <c r="A18" s="116"/>
      <c r="C18" s="486" t="s">
        <v>80</v>
      </c>
      <c r="D18" s="577" t="s">
        <v>191</v>
      </c>
      <c r="E18" s="578"/>
      <c r="F18" s="579" t="s">
        <v>229</v>
      </c>
      <c r="G18" s="580"/>
      <c r="H18" s="577" t="s">
        <v>191</v>
      </c>
      <c r="I18" s="578"/>
      <c r="J18" s="579" t="s">
        <v>229</v>
      </c>
      <c r="K18" s="580"/>
      <c r="L18" s="577" t="s">
        <v>191</v>
      </c>
      <c r="M18" s="578"/>
      <c r="N18" s="579" t="s">
        <v>229</v>
      </c>
      <c r="P18" s="135"/>
      <c r="Q18" s="135"/>
      <c r="R18" s="135"/>
      <c r="S18" s="135"/>
      <c r="T18" s="135"/>
      <c r="U18" s="135"/>
      <c r="V18" s="135"/>
    </row>
    <row r="19" spans="1:31" ht="28.5" customHeight="1">
      <c r="A19" s="116"/>
      <c r="C19" s="679" t="s">
        <v>358</v>
      </c>
      <c r="D19" s="567">
        <v>82777.161999999997</v>
      </c>
      <c r="E19" s="568"/>
      <c r="F19" s="682">
        <f>D19/$D$24</f>
        <v>0.42356749772575397</v>
      </c>
      <c r="G19" s="585"/>
      <c r="H19" s="567">
        <v>82936.661999999997</v>
      </c>
      <c r="I19" s="568"/>
      <c r="J19" s="682">
        <f>H19/$H$24</f>
        <v>0.42477990135131999</v>
      </c>
      <c r="K19" s="585"/>
      <c r="L19" s="567">
        <v>76992.523000000001</v>
      </c>
      <c r="M19" s="568"/>
      <c r="N19" s="684">
        <f>L19/$L$24</f>
        <v>0.40952091468708923</v>
      </c>
      <c r="P19" s="135"/>
      <c r="Q19" s="123"/>
      <c r="R19" s="135"/>
      <c r="S19" s="135"/>
      <c r="T19" s="135"/>
      <c r="U19" s="135"/>
      <c r="V19" s="135"/>
    </row>
    <row r="20" spans="1:31" ht="28.5" customHeight="1">
      <c r="A20" s="116"/>
      <c r="C20" s="679" t="s">
        <v>448</v>
      </c>
      <c r="D20" s="567">
        <v>108810.683</v>
      </c>
      <c r="E20" s="568"/>
      <c r="F20" s="682">
        <f t="shared" ref="F20:F24" si="2">D20/$D$24</f>
        <v>0.55678000562691721</v>
      </c>
      <c r="G20" s="585"/>
      <c r="H20" s="567">
        <v>109002.02</v>
      </c>
      <c r="I20" s="568"/>
      <c r="J20" s="682">
        <f t="shared" ref="J20:J24" si="3">H20/$H$24</f>
        <v>0.55827985098670374</v>
      </c>
      <c r="K20" s="585"/>
      <c r="L20" s="567">
        <v>108446.98299999999</v>
      </c>
      <c r="M20" s="568"/>
      <c r="N20" s="684">
        <f t="shared" ref="N20:N24" si="4">L20/$L$24</f>
        <v>0.57682624159770968</v>
      </c>
      <c r="P20" s="135"/>
      <c r="Q20" s="123"/>
      <c r="R20" s="135"/>
      <c r="S20" s="135"/>
      <c r="T20" s="135"/>
      <c r="U20" s="135"/>
      <c r="V20" s="135"/>
    </row>
    <row r="21" spans="1:31" ht="28.5" customHeight="1">
      <c r="A21" s="116"/>
      <c r="C21" s="679" t="s">
        <v>81</v>
      </c>
      <c r="D21" s="567">
        <v>101627.022</v>
      </c>
      <c r="E21" s="568"/>
      <c r="F21" s="682">
        <f t="shared" si="2"/>
        <v>0.52002149348705806</v>
      </c>
      <c r="G21" s="585"/>
      <c r="H21" s="567">
        <v>101925.145</v>
      </c>
      <c r="I21" s="568"/>
      <c r="J21" s="682">
        <f t="shared" si="3"/>
        <v>0.52203394728279506</v>
      </c>
      <c r="K21" s="585"/>
      <c r="L21" s="567">
        <v>101162.291</v>
      </c>
      <c r="M21" s="568"/>
      <c r="N21" s="684">
        <f t="shared" si="4"/>
        <v>0.53807918389895459</v>
      </c>
      <c r="P21" s="135"/>
      <c r="Q21" s="123"/>
      <c r="R21" s="135"/>
      <c r="S21" s="135"/>
      <c r="T21" s="135"/>
      <c r="U21" s="135"/>
      <c r="V21" s="135"/>
    </row>
    <row r="22" spans="1:31" ht="28.5" customHeight="1">
      <c r="A22" s="116"/>
      <c r="C22" s="679" t="s">
        <v>447</v>
      </c>
      <c r="D22" s="567">
        <v>3840.6579999999999</v>
      </c>
      <c r="E22" s="568"/>
      <c r="F22" s="682">
        <f t="shared" si="2"/>
        <v>1.965249664732887E-2</v>
      </c>
      <c r="G22" s="585"/>
      <c r="H22" s="567">
        <v>3307.5189999999998</v>
      </c>
      <c r="I22" s="568"/>
      <c r="J22" s="682">
        <f t="shared" si="3"/>
        <v>1.6940247661976274E-2</v>
      </c>
      <c r="K22" s="585"/>
      <c r="L22" s="567">
        <v>2566.8209999999999</v>
      </c>
      <c r="M22" s="568"/>
      <c r="N22" s="684">
        <f t="shared" si="4"/>
        <v>1.3652843715201137E-2</v>
      </c>
      <c r="P22" s="135"/>
      <c r="Q22" s="123"/>
      <c r="R22" s="135"/>
      <c r="S22" s="135"/>
      <c r="T22" s="135"/>
      <c r="U22" s="135"/>
      <c r="V22" s="135"/>
    </row>
    <row r="23" spans="1:31" ht="28.5" customHeight="1">
      <c r="A23" s="116"/>
      <c r="C23" s="681" t="s">
        <v>82</v>
      </c>
      <c r="D23" s="570">
        <v>3778.2170000000001</v>
      </c>
      <c r="E23" s="571"/>
      <c r="F23" s="682">
        <f t="shared" si="2"/>
        <v>1.9332988494518633E-2</v>
      </c>
      <c r="G23" s="586"/>
      <c r="H23" s="570">
        <v>3233.915</v>
      </c>
      <c r="I23" s="571"/>
      <c r="J23" s="682">
        <f t="shared" si="3"/>
        <v>1.6563267215632022E-2</v>
      </c>
      <c r="K23" s="586"/>
      <c r="L23" s="570">
        <v>2417.79</v>
      </c>
      <c r="M23" s="571"/>
      <c r="N23" s="684">
        <f t="shared" si="4"/>
        <v>1.2860152307533778E-2</v>
      </c>
      <c r="P23" s="135"/>
      <c r="Q23" s="123"/>
      <c r="R23" s="135"/>
      <c r="S23" s="135"/>
      <c r="T23" s="135"/>
      <c r="U23" s="135"/>
      <c r="V23" s="135"/>
    </row>
    <row r="24" spans="1:31" ht="28.5" customHeight="1" thickBot="1">
      <c r="A24" s="116"/>
      <c r="C24" s="680" t="s">
        <v>79</v>
      </c>
      <c r="D24" s="573">
        <f>D19+D20+D22</f>
        <v>195428.503</v>
      </c>
      <c r="E24" s="574">
        <f>E19+E20+E22</f>
        <v>0</v>
      </c>
      <c r="F24" s="683">
        <f t="shared" si="2"/>
        <v>1</v>
      </c>
      <c r="G24" s="587"/>
      <c r="H24" s="573">
        <f>H19+H20+H22</f>
        <v>195246.201</v>
      </c>
      <c r="I24" s="574">
        <f>I19+I20+I22</f>
        <v>0</v>
      </c>
      <c r="J24" s="683">
        <f t="shared" si="3"/>
        <v>1</v>
      </c>
      <c r="K24" s="587"/>
      <c r="L24" s="573">
        <f>L19+L20+L22</f>
        <v>188006.32699999999</v>
      </c>
      <c r="M24" s="574">
        <f>M19+M20+M22</f>
        <v>0</v>
      </c>
      <c r="N24" s="685">
        <f t="shared" si="4"/>
        <v>1</v>
      </c>
      <c r="P24" s="135"/>
      <c r="Q24" s="136"/>
      <c r="R24" s="135"/>
      <c r="S24" s="135"/>
      <c r="T24" s="135"/>
      <c r="U24" s="135"/>
      <c r="V24" s="135"/>
    </row>
    <row r="25" spans="1:31" ht="11.25">
      <c r="A25" s="116"/>
      <c r="C25" s="129"/>
      <c r="D25" s="129"/>
      <c r="E25" s="129"/>
      <c r="F25" s="130"/>
      <c r="G25" s="122"/>
      <c r="H25" s="129"/>
      <c r="I25" s="129"/>
      <c r="J25" s="130"/>
      <c r="K25" s="122"/>
      <c r="L25" s="129"/>
      <c r="M25" s="129"/>
      <c r="N25" s="130"/>
      <c r="P25" s="135"/>
      <c r="Q25" s="135"/>
      <c r="R25" s="135"/>
      <c r="S25" s="135"/>
      <c r="T25" s="135"/>
      <c r="U25" s="135"/>
      <c r="V25" s="135"/>
    </row>
    <row r="26" spans="1:31" ht="10.5">
      <c r="A26" s="116"/>
      <c r="C26" s="107" t="s">
        <v>83</v>
      </c>
      <c r="P26" s="135"/>
      <c r="Q26" s="135"/>
      <c r="R26" s="135"/>
      <c r="S26" s="135"/>
      <c r="T26" s="135"/>
      <c r="U26" s="135"/>
      <c r="V26" s="135"/>
    </row>
    <row r="27" spans="1:31" ht="10.5">
      <c r="A27" s="116"/>
      <c r="C27" s="107" t="s">
        <v>449</v>
      </c>
    </row>
    <row r="28" spans="1:31" ht="10.5">
      <c r="A28" s="116"/>
      <c r="C28" s="107" t="s">
        <v>84</v>
      </c>
    </row>
    <row r="29" spans="1:31">
      <c r="A29" s="116"/>
    </row>
    <row r="30" spans="1:31" ht="10.5">
      <c r="A30" s="116"/>
      <c r="C30" s="107"/>
    </row>
    <row r="31" spans="1:31">
      <c r="A31" s="116"/>
    </row>
  </sheetData>
  <mergeCells count="8">
    <mergeCell ref="L17:N17"/>
    <mergeCell ref="D7:F7"/>
    <mergeCell ref="H7:J7"/>
    <mergeCell ref="O7:V7"/>
    <mergeCell ref="X7:AE7"/>
    <mergeCell ref="D17:F17"/>
    <mergeCell ref="H17:J17"/>
    <mergeCell ref="L7:N7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92" orientation="landscape" useFirstPageNumber="1" verticalDpi="0" r:id="rId1"/>
  <headerFooter>
    <oddHeader>&amp;R&amp;"Trebuchet MS,보통"&amp;12
www.wooribank.com</oddHeader>
    <oddFooter xml:space="preserve">&amp;R&amp;"Trebuchet MS,보통"Page 5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showGridLines="0" view="pageBreakPreview" zoomScaleNormal="100" zoomScaleSheetLayoutView="100" workbookViewId="0">
      <selection activeCell="J9" sqref="J9"/>
    </sheetView>
  </sheetViews>
  <sheetFormatPr defaultRowHeight="11.25"/>
  <cols>
    <col min="1" max="1" width="19.28515625" style="143" customWidth="1"/>
    <col min="2" max="2" width="4.7109375" style="143" customWidth="1"/>
    <col min="3" max="3" width="21.5703125" style="167" customWidth="1"/>
    <col min="4" max="14" width="11.140625" style="143" customWidth="1"/>
    <col min="15" max="15" width="1.7109375" style="143" customWidth="1"/>
    <col min="16" max="16" width="12.28515625" style="143" customWidth="1"/>
    <col min="17" max="17" width="1.7109375" style="143" customWidth="1"/>
    <col min="18" max="18" width="0.7109375" style="143" customWidth="1"/>
    <col min="19" max="16384" width="9.140625" style="143"/>
  </cols>
  <sheetData>
    <row r="1" spans="1:30" s="119" customFormat="1" ht="30" customHeight="1">
      <c r="A1" s="824"/>
      <c r="B1" s="138"/>
      <c r="C1" s="630" t="s">
        <v>85</v>
      </c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  <c r="T1" s="630"/>
      <c r="U1" s="630"/>
      <c r="V1" s="630"/>
      <c r="W1" s="630"/>
      <c r="X1" s="630"/>
      <c r="Y1" s="630"/>
      <c r="Z1" s="630"/>
      <c r="AA1" s="630"/>
      <c r="AB1" s="630"/>
      <c r="AC1" s="630"/>
      <c r="AD1" s="630"/>
    </row>
    <row r="2" spans="1:30" s="119" customFormat="1" ht="19.5" customHeight="1">
      <c r="A2" s="139"/>
      <c r="C2" s="140"/>
      <c r="R2" s="122"/>
    </row>
    <row r="3" spans="1:30" s="119" customFormat="1" ht="19.5" customHeight="1">
      <c r="A3" s="139"/>
      <c r="C3" s="141"/>
      <c r="R3" s="122"/>
    </row>
    <row r="4" spans="1:30" ht="17.25">
      <c r="A4" s="142"/>
      <c r="C4" s="22" t="s">
        <v>408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1:30">
      <c r="A5" s="142"/>
      <c r="C5" s="136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</row>
    <row r="6" spans="1:30" ht="21.75" customHeight="1">
      <c r="A6" s="142"/>
      <c r="C6" s="145" t="s">
        <v>86</v>
      </c>
      <c r="D6" s="39" t="s">
        <v>427</v>
      </c>
      <c r="E6" s="39" t="s">
        <v>428</v>
      </c>
      <c r="F6" s="39" t="s">
        <v>445</v>
      </c>
      <c r="G6" s="39" t="s">
        <v>474</v>
      </c>
      <c r="H6" s="39" t="s">
        <v>479</v>
      </c>
      <c r="I6" s="39" t="s">
        <v>481</v>
      </c>
      <c r="J6" s="39" t="s">
        <v>483</v>
      </c>
      <c r="K6" s="39" t="s">
        <v>498</v>
      </c>
      <c r="L6" s="39" t="s">
        <v>504</v>
      </c>
      <c r="M6" s="39" t="s">
        <v>509</v>
      </c>
      <c r="N6" s="39" t="s">
        <v>528</v>
      </c>
      <c r="O6" s="146"/>
      <c r="P6" s="147"/>
      <c r="Q6" s="147"/>
      <c r="R6" s="148"/>
    </row>
    <row r="7" spans="1:30" ht="22.5" customHeight="1">
      <c r="A7" s="142"/>
      <c r="C7" s="686" t="s">
        <v>88</v>
      </c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149"/>
      <c r="P7" s="137"/>
      <c r="Q7" s="150"/>
      <c r="R7" s="122"/>
    </row>
    <row r="8" spans="1:30" ht="22.5" customHeight="1">
      <c r="A8" s="858"/>
      <c r="C8" s="687" t="s">
        <v>89</v>
      </c>
      <c r="D8" s="390">
        <f t="shared" ref="D8:I8" si="0">SUM(D9:D10)</f>
        <v>104792.4</v>
      </c>
      <c r="E8" s="390">
        <f t="shared" si="0"/>
        <v>105842.5</v>
      </c>
      <c r="F8" s="390">
        <f t="shared" si="0"/>
        <v>110565.3</v>
      </c>
      <c r="G8" s="390">
        <f t="shared" si="0"/>
        <v>113410.382</v>
      </c>
      <c r="H8" s="390">
        <f t="shared" si="0"/>
        <v>117710.9</v>
      </c>
      <c r="I8" s="390">
        <f t="shared" si="0"/>
        <v>113482.3</v>
      </c>
      <c r="J8" s="390">
        <f>SUM(J9:J10)</f>
        <v>114013.7</v>
      </c>
      <c r="K8" s="390">
        <f>SUM(K9:K10)</f>
        <v>114516.7</v>
      </c>
      <c r="L8" s="390">
        <f>SUM(L9:L10)</f>
        <v>111602</v>
      </c>
      <c r="M8" s="797">
        <f>SUM(M9:M10)</f>
        <v>110162.9</v>
      </c>
      <c r="N8" s="797">
        <f>SUM(N9:N10)</f>
        <v>108895.3</v>
      </c>
      <c r="O8" s="151"/>
      <c r="P8" s="935">
        <f>+N8/M8-1</f>
        <v>-1.1506596140805958E-2</v>
      </c>
      <c r="Q8" s="123"/>
      <c r="R8" s="153"/>
      <c r="S8" s="936">
        <f>+N8/J8-1</f>
        <v>-4.4892850596024769E-2</v>
      </c>
      <c r="T8" s="154"/>
    </row>
    <row r="9" spans="1:30" ht="22.5" customHeight="1">
      <c r="A9" s="858"/>
      <c r="C9" s="688" t="s">
        <v>90</v>
      </c>
      <c r="D9" s="390">
        <v>64479.1</v>
      </c>
      <c r="E9" s="390">
        <v>65381</v>
      </c>
      <c r="F9" s="390">
        <v>67710.600000000006</v>
      </c>
      <c r="G9" s="390">
        <v>69185.826000000001</v>
      </c>
      <c r="H9" s="390">
        <v>70670.399999999994</v>
      </c>
      <c r="I9" s="390">
        <v>69649.600000000006</v>
      </c>
      <c r="J9" s="390">
        <v>70207</v>
      </c>
      <c r="K9" s="390">
        <v>70477.5</v>
      </c>
      <c r="L9" s="390">
        <v>71472</v>
      </c>
      <c r="M9" s="797">
        <v>70814.2</v>
      </c>
      <c r="N9" s="797">
        <v>72078</v>
      </c>
      <c r="O9" s="151"/>
      <c r="P9" s="935">
        <f t="shared" ref="P9:P12" si="1">+N9/M9-1</f>
        <v>1.784670306238012E-2</v>
      </c>
      <c r="Q9" s="123"/>
      <c r="R9" s="153"/>
      <c r="S9" s="936">
        <f t="shared" ref="S9:S12" si="2">+N9/J9-1</f>
        <v>2.6649764268520171E-2</v>
      </c>
      <c r="T9" s="154"/>
      <c r="Z9" s="438"/>
    </row>
    <row r="10" spans="1:30" ht="22.5" customHeight="1">
      <c r="A10" s="858"/>
      <c r="C10" s="688" t="s">
        <v>91</v>
      </c>
      <c r="D10" s="390">
        <v>40313.300000000003</v>
      </c>
      <c r="E10" s="390">
        <v>40461.5</v>
      </c>
      <c r="F10" s="390">
        <v>42854.7</v>
      </c>
      <c r="G10" s="390">
        <v>44224.555999999997</v>
      </c>
      <c r="H10" s="390">
        <v>47040.5</v>
      </c>
      <c r="I10" s="390">
        <v>43832.7</v>
      </c>
      <c r="J10" s="390">
        <v>43806.7</v>
      </c>
      <c r="K10" s="390">
        <v>44039.199999999997</v>
      </c>
      <c r="L10" s="390">
        <v>40130</v>
      </c>
      <c r="M10" s="797">
        <v>39348.699999999997</v>
      </c>
      <c r="N10" s="797">
        <v>36817.300000000003</v>
      </c>
      <c r="O10" s="151"/>
      <c r="P10" s="935">
        <f t="shared" si="1"/>
        <v>-6.4332493830799864E-2</v>
      </c>
      <c r="Q10" s="123"/>
      <c r="R10" s="153"/>
      <c r="S10" s="936">
        <f t="shared" si="2"/>
        <v>-0.15955093627230521</v>
      </c>
      <c r="T10" s="154"/>
    </row>
    <row r="11" spans="1:30" ht="22.5" customHeight="1">
      <c r="A11" s="858"/>
      <c r="C11" s="687" t="s">
        <v>92</v>
      </c>
      <c r="D11" s="390">
        <v>76568.600000000006</v>
      </c>
      <c r="E11" s="390">
        <v>79427.100000000006</v>
      </c>
      <c r="F11" s="390">
        <v>81606.5</v>
      </c>
      <c r="G11" s="390">
        <v>84353.600000000006</v>
      </c>
      <c r="H11" s="390">
        <v>88883.3</v>
      </c>
      <c r="I11" s="390">
        <v>92256.7</v>
      </c>
      <c r="J11" s="390">
        <v>95120.9</v>
      </c>
      <c r="K11" s="390">
        <v>99456</v>
      </c>
      <c r="L11" s="390">
        <v>99326.3</v>
      </c>
      <c r="M11" s="797">
        <v>102587.01</v>
      </c>
      <c r="N11" s="797">
        <v>103427.6</v>
      </c>
      <c r="O11" s="151"/>
      <c r="P11" s="935">
        <f t="shared" si="1"/>
        <v>8.1939224079150552E-3</v>
      </c>
      <c r="Q11" s="123"/>
      <c r="R11" s="153"/>
      <c r="S11" s="936">
        <f t="shared" si="2"/>
        <v>8.7327811238119279E-2</v>
      </c>
      <c r="T11" s="154"/>
    </row>
    <row r="12" spans="1:30" ht="22.5" customHeight="1">
      <c r="A12" s="858"/>
      <c r="C12" s="687" t="s">
        <v>93</v>
      </c>
      <c r="D12" s="390">
        <v>7121</v>
      </c>
      <c r="E12" s="390">
        <v>6639</v>
      </c>
      <c r="F12" s="390">
        <v>5969.6</v>
      </c>
      <c r="G12" s="390">
        <v>5487</v>
      </c>
      <c r="H12" s="390">
        <v>5172.3999999999996</v>
      </c>
      <c r="I12" s="390">
        <v>5103.3999999999996</v>
      </c>
      <c r="J12" s="390">
        <v>4735.2</v>
      </c>
      <c r="K12" s="390">
        <v>4108.6000000000004</v>
      </c>
      <c r="L12" s="390">
        <v>3858.1</v>
      </c>
      <c r="M12" s="797">
        <v>3862.2</v>
      </c>
      <c r="N12" s="797">
        <v>3436.3</v>
      </c>
      <c r="O12" s="151"/>
      <c r="P12" s="935">
        <f t="shared" si="1"/>
        <v>-0.11027393713427569</v>
      </c>
      <c r="Q12" s="123"/>
      <c r="R12" s="153"/>
      <c r="S12" s="936">
        <f t="shared" si="2"/>
        <v>-0.27430731542490283</v>
      </c>
      <c r="T12" s="154"/>
    </row>
    <row r="13" spans="1:30" ht="22.5" customHeight="1" thickBot="1">
      <c r="A13" s="142"/>
      <c r="C13" s="689" t="s">
        <v>95</v>
      </c>
      <c r="D13" s="582">
        <f t="shared" ref="D13:I13" si="3">D8+D11+D12</f>
        <v>188482</v>
      </c>
      <c r="E13" s="582">
        <f t="shared" si="3"/>
        <v>191908.6</v>
      </c>
      <c r="F13" s="582">
        <f t="shared" si="3"/>
        <v>198141.4</v>
      </c>
      <c r="G13" s="582">
        <f t="shared" si="3"/>
        <v>203250.98200000002</v>
      </c>
      <c r="H13" s="582">
        <f t="shared" si="3"/>
        <v>211766.6</v>
      </c>
      <c r="I13" s="582">
        <f t="shared" si="3"/>
        <v>210842.4</v>
      </c>
      <c r="J13" s="582">
        <f>J8+J11+J12</f>
        <v>213869.8</v>
      </c>
      <c r="K13" s="582">
        <f>K8+K11+K12</f>
        <v>218081.30000000002</v>
      </c>
      <c r="L13" s="582">
        <f>L8+L11+L12</f>
        <v>214786.4</v>
      </c>
      <c r="M13" s="1064">
        <f>M8+M11+M12</f>
        <v>216612.11</v>
      </c>
      <c r="N13" s="1064">
        <v>215759.2</v>
      </c>
      <c r="O13" s="155"/>
      <c r="P13" s="935">
        <f>+N13/M13-1</f>
        <v>-3.9374991545947369E-3</v>
      </c>
      <c r="Q13" s="136"/>
      <c r="R13" s="130"/>
      <c r="S13" s="936">
        <f>+N13/J13-1</f>
        <v>8.8343468783345092E-3</v>
      </c>
      <c r="T13" s="154"/>
    </row>
    <row r="14" spans="1:30" ht="16.899999999999999" customHeight="1">
      <c r="A14" s="142"/>
      <c r="C14" s="157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37"/>
    </row>
    <row r="15" spans="1:30" ht="16.899999999999999" customHeight="1">
      <c r="A15" s="142"/>
      <c r="C15" s="136"/>
      <c r="D15" s="123"/>
      <c r="E15" s="123"/>
      <c r="F15" s="857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37"/>
    </row>
    <row r="16" spans="1:30" ht="16.899999999999999" customHeight="1">
      <c r="A16" s="142"/>
      <c r="C16" s="22" t="s">
        <v>409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2"/>
    </row>
    <row r="17" spans="1:18" ht="11.25" customHeight="1">
      <c r="A17" s="142"/>
      <c r="C17" s="22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2"/>
    </row>
    <row r="18" spans="1:18" ht="21.75" customHeight="1">
      <c r="A18" s="142"/>
      <c r="C18" s="145" t="s">
        <v>96</v>
      </c>
      <c r="D18" s="39" t="str">
        <f t="shared" ref="D18:N18" si="4">D6</f>
        <v>3Q14</v>
      </c>
      <c r="E18" s="39" t="str">
        <f t="shared" si="4"/>
        <v>4Q14</v>
      </c>
      <c r="F18" s="39" t="str">
        <f t="shared" si="4"/>
        <v>1Q15</v>
      </c>
      <c r="G18" s="39" t="str">
        <f t="shared" si="4"/>
        <v>2Q15</v>
      </c>
      <c r="H18" s="39" t="str">
        <f t="shared" si="4"/>
        <v>3Q15</v>
      </c>
      <c r="I18" s="39" t="str">
        <f t="shared" si="4"/>
        <v>4Q15</v>
      </c>
      <c r="J18" s="39" t="str">
        <f t="shared" si="4"/>
        <v>1Q16</v>
      </c>
      <c r="K18" s="39" t="str">
        <f t="shared" si="4"/>
        <v>2Q16</v>
      </c>
      <c r="L18" s="39" t="str">
        <f t="shared" si="4"/>
        <v>3Q16</v>
      </c>
      <c r="M18" s="39" t="str">
        <f t="shared" si="4"/>
        <v>4Q16</v>
      </c>
      <c r="N18" s="39" t="str">
        <f t="shared" si="4"/>
        <v>1Q17</v>
      </c>
      <c r="O18" s="146"/>
      <c r="P18" s="148"/>
      <c r="Q18" s="148"/>
      <c r="R18" s="148"/>
    </row>
    <row r="19" spans="1:18" ht="22.5" customHeight="1">
      <c r="A19" s="142"/>
      <c r="C19" s="686" t="s">
        <v>87</v>
      </c>
      <c r="D19" s="581"/>
      <c r="E19" s="581"/>
      <c r="F19" s="581"/>
      <c r="G19" s="581"/>
      <c r="H19" s="581"/>
      <c r="I19" s="581"/>
      <c r="J19" s="581"/>
      <c r="K19" s="581"/>
      <c r="L19" s="581"/>
      <c r="M19" s="581"/>
      <c r="N19" s="581"/>
      <c r="O19" s="149"/>
      <c r="P19" s="159"/>
      <c r="Q19" s="159"/>
      <c r="R19" s="122"/>
    </row>
    <row r="20" spans="1:18" ht="22.5" customHeight="1">
      <c r="A20" s="142"/>
      <c r="C20" s="687" t="s">
        <v>89</v>
      </c>
      <c r="D20" s="583">
        <f t="shared" ref="D20:J20" si="5">D21+D22</f>
        <v>55.598094247726578</v>
      </c>
      <c r="E20" s="583">
        <f t="shared" si="5"/>
        <v>55.152556998487825</v>
      </c>
      <c r="F20" s="583">
        <f t="shared" si="5"/>
        <v>55.801210650575804</v>
      </c>
      <c r="G20" s="583">
        <f t="shared" si="5"/>
        <v>55.798196340325674</v>
      </c>
      <c r="H20" s="583">
        <f t="shared" si="5"/>
        <v>55.585205598994364</v>
      </c>
      <c r="I20" s="583">
        <f t="shared" si="5"/>
        <v>53.823282224068791</v>
      </c>
      <c r="J20" s="583">
        <f t="shared" si="5"/>
        <v>53.309864225804674</v>
      </c>
      <c r="K20" s="583">
        <f>K21+K22</f>
        <v>52.511013094657812</v>
      </c>
      <c r="L20" s="583">
        <f>L21+L22</f>
        <v>51.95952816379436</v>
      </c>
      <c r="M20" s="583">
        <f>M21+M22</f>
        <v>50.85722123292183</v>
      </c>
      <c r="N20" s="583">
        <f>N21+N22</f>
        <v>50.470756287565024</v>
      </c>
      <c r="O20" s="151"/>
      <c r="P20" s="160"/>
      <c r="Q20" s="160"/>
      <c r="R20" s="152"/>
    </row>
    <row r="21" spans="1:18" ht="22.5" customHeight="1">
      <c r="A21" s="142"/>
      <c r="C21" s="688" t="s">
        <v>90</v>
      </c>
      <c r="D21" s="583">
        <f t="shared" ref="D21:J21" si="6">(D9/D13*100)</f>
        <v>34.209685805541113</v>
      </c>
      <c r="E21" s="583">
        <f t="shared" si="6"/>
        <v>34.068822345637457</v>
      </c>
      <c r="F21" s="583">
        <f t="shared" si="6"/>
        <v>34.172868466660681</v>
      </c>
      <c r="G21" s="583">
        <f t="shared" si="6"/>
        <v>34.039602327727003</v>
      </c>
      <c r="H21" s="583">
        <f t="shared" si="6"/>
        <v>33.371834840810585</v>
      </c>
      <c r="I21" s="583">
        <f t="shared" si="6"/>
        <v>33.033962808239714</v>
      </c>
      <c r="J21" s="583">
        <f t="shared" si="6"/>
        <v>32.826981649583061</v>
      </c>
      <c r="K21" s="583">
        <f>(K9/K13*100)</f>
        <v>32.317076246335652</v>
      </c>
      <c r="L21" s="583">
        <f>(L9/L13*100)</f>
        <v>33.275849867589386</v>
      </c>
      <c r="M21" s="583">
        <f>(M9/M13*100)</f>
        <v>32.691708695326405</v>
      </c>
      <c r="N21" s="583">
        <f>(N9/N13*100)</f>
        <v>33.406686713706762</v>
      </c>
      <c r="O21" s="151"/>
      <c r="P21" s="160"/>
      <c r="Q21" s="160"/>
      <c r="R21" s="152"/>
    </row>
    <row r="22" spans="1:18" ht="22.5" customHeight="1">
      <c r="A22" s="142"/>
      <c r="C22" s="688" t="s">
        <v>91</v>
      </c>
      <c r="D22" s="583">
        <f t="shared" ref="D22:J22" si="7">(D10/D13*100)</f>
        <v>21.388408442185462</v>
      </c>
      <c r="E22" s="583">
        <f t="shared" si="7"/>
        <v>21.083734652850367</v>
      </c>
      <c r="F22" s="583">
        <f t="shared" si="7"/>
        <v>21.628342183915123</v>
      </c>
      <c r="G22" s="583">
        <f t="shared" si="7"/>
        <v>21.758594012598667</v>
      </c>
      <c r="H22" s="583">
        <f t="shared" si="7"/>
        <v>22.213370758183775</v>
      </c>
      <c r="I22" s="583">
        <f t="shared" si="7"/>
        <v>20.789319415829073</v>
      </c>
      <c r="J22" s="583">
        <f t="shared" si="7"/>
        <v>20.482882576221609</v>
      </c>
      <c r="K22" s="583">
        <f>(K10/K13*100)</f>
        <v>20.19393684832216</v>
      </c>
      <c r="L22" s="583">
        <f>(L10/L13*100)</f>
        <v>18.683678296204974</v>
      </c>
      <c r="M22" s="583">
        <f>(M10/M13*100)</f>
        <v>18.165512537595426</v>
      </c>
      <c r="N22" s="583">
        <f>(N10/N13*100)</f>
        <v>17.064069573858266</v>
      </c>
      <c r="O22" s="151"/>
      <c r="P22" s="160"/>
      <c r="Q22" s="160"/>
      <c r="R22" s="152"/>
    </row>
    <row r="23" spans="1:18" ht="22.5" customHeight="1">
      <c r="A23" s="142"/>
      <c r="C23" s="687" t="s">
        <v>92</v>
      </c>
      <c r="D23" s="583">
        <f t="shared" ref="D23:J23" si="8">(D11/D13*100)</f>
        <v>40.62382614785497</v>
      </c>
      <c r="E23" s="583">
        <f t="shared" si="8"/>
        <v>41.387983654718965</v>
      </c>
      <c r="F23" s="583">
        <f t="shared" si="8"/>
        <v>41.185991418249799</v>
      </c>
      <c r="G23" s="583">
        <f t="shared" si="8"/>
        <v>41.502185706536956</v>
      </c>
      <c r="H23" s="583">
        <f t="shared" si="8"/>
        <v>41.972294025592326</v>
      </c>
      <c r="I23" s="583">
        <f t="shared" si="8"/>
        <v>43.756236885939451</v>
      </c>
      <c r="J23" s="583">
        <f t="shared" si="8"/>
        <v>44.476078436506697</v>
      </c>
      <c r="K23" s="583">
        <f>(K11/K13*100)</f>
        <v>45.605010608429055</v>
      </c>
      <c r="L23" s="583">
        <f>(L11/L13*100)</f>
        <v>46.244222166766612</v>
      </c>
      <c r="M23" s="583">
        <f>(M11/M13*100)</f>
        <v>47.3597759608177</v>
      </c>
      <c r="N23" s="583">
        <f>(N11/N13*100)</f>
        <v>47.93658856725461</v>
      </c>
      <c r="O23" s="151"/>
      <c r="P23" s="160"/>
      <c r="Q23" s="160"/>
      <c r="R23" s="152"/>
    </row>
    <row r="24" spans="1:18" ht="22.5" customHeight="1">
      <c r="A24" s="142"/>
      <c r="C24" s="687" t="s">
        <v>93</v>
      </c>
      <c r="D24" s="583">
        <f t="shared" ref="D24:J24" si="9">(D12/D13*100)</f>
        <v>3.7780796044184592</v>
      </c>
      <c r="E24" s="583">
        <f t="shared" si="9"/>
        <v>3.4594593467932131</v>
      </c>
      <c r="F24" s="583">
        <f t="shared" si="9"/>
        <v>3.0127979311744038</v>
      </c>
      <c r="G24" s="583">
        <f t="shared" si="9"/>
        <v>2.6996179531373676</v>
      </c>
      <c r="H24" s="583">
        <f t="shared" si="9"/>
        <v>2.4425003754133088</v>
      </c>
      <c r="I24" s="583">
        <f t="shared" si="9"/>
        <v>2.420480889991766</v>
      </c>
      <c r="J24" s="583">
        <f t="shared" si="9"/>
        <v>2.2140573376886312</v>
      </c>
      <c r="K24" s="583">
        <f>(K12/K13*100)</f>
        <v>1.8839762969131237</v>
      </c>
      <c r="L24" s="583">
        <f>(L12/L13*100)</f>
        <v>1.7962496694390335</v>
      </c>
      <c r="M24" s="583">
        <f>(M12/M13*100)</f>
        <v>1.7830028062604624</v>
      </c>
      <c r="N24" s="583">
        <f>(N12/N13*100)</f>
        <v>1.5926551451803679</v>
      </c>
      <c r="O24" s="151"/>
      <c r="P24" s="161"/>
      <c r="Q24" s="160"/>
      <c r="R24" s="152"/>
    </row>
    <row r="25" spans="1:18" ht="22.5" customHeight="1" thickBot="1">
      <c r="A25" s="142"/>
      <c r="C25" s="689" t="s">
        <v>94</v>
      </c>
      <c r="D25" s="584">
        <f t="shared" ref="D25:J25" si="10">D21+D22+D23+D24</f>
        <v>100.00000000000001</v>
      </c>
      <c r="E25" s="584">
        <f t="shared" si="10"/>
        <v>100</v>
      </c>
      <c r="F25" s="584">
        <f t="shared" si="10"/>
        <v>100.00000000000001</v>
      </c>
      <c r="G25" s="584">
        <f t="shared" si="10"/>
        <v>100</v>
      </c>
      <c r="H25" s="584">
        <f t="shared" si="10"/>
        <v>99.999999999999986</v>
      </c>
      <c r="I25" s="584">
        <f t="shared" si="10"/>
        <v>100.00000000000001</v>
      </c>
      <c r="J25" s="584">
        <f t="shared" si="10"/>
        <v>100</v>
      </c>
      <c r="K25" s="584">
        <f>K21+K22+K23+K24</f>
        <v>99.999999999999986</v>
      </c>
      <c r="L25" s="584">
        <f>L21+L22+L23+L24</f>
        <v>100.00000000000001</v>
      </c>
      <c r="M25" s="584">
        <f>M21+M22+M23+M24</f>
        <v>99.999999999999986</v>
      </c>
      <c r="N25" s="584">
        <f>N21+N22+N23+N24</f>
        <v>100</v>
      </c>
      <c r="O25" s="155"/>
      <c r="P25" s="162"/>
      <c r="Q25" s="163"/>
      <c r="R25" s="156"/>
    </row>
    <row r="26" spans="1:18">
      <c r="A26" s="142"/>
      <c r="C26" s="439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35"/>
    </row>
    <row r="27" spans="1:18" ht="15.75" customHeight="1">
      <c r="A27" s="142"/>
      <c r="C27" s="487" t="s">
        <v>97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35"/>
    </row>
    <row r="28" spans="1:18" ht="15.75" customHeight="1">
      <c r="A28" s="142"/>
      <c r="B28" s="166"/>
      <c r="C28" s="48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</row>
    <row r="29" spans="1:18">
      <c r="A29" s="142"/>
    </row>
    <row r="58" spans="2:18" s="166" customFormat="1">
      <c r="B58" s="143"/>
      <c r="C58" s="167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</row>
    <row r="64" spans="2:18" s="166" customFormat="1">
      <c r="B64" s="143"/>
      <c r="C64" s="167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</row>
    <row r="65" spans="2:18" s="166" customFormat="1">
      <c r="B65" s="143"/>
      <c r="C65" s="167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</row>
    <row r="81" spans="2:18" s="166" customFormat="1">
      <c r="B81" s="143"/>
      <c r="C81" s="167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</row>
    <row r="86" spans="2:18" s="166" customFormat="1">
      <c r="B86" s="143"/>
      <c r="C86" s="167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</row>
    <row r="87" spans="2:18" s="166" customFormat="1">
      <c r="B87" s="143"/>
      <c r="C87" s="167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</row>
  </sheetData>
  <phoneticPr fontId="2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verticalDpi="0" r:id="rId1"/>
  <headerFooter>
    <oddHeader>&amp;R&amp;"Trebuchet MS,보통"&amp;12
www.wooribank.com</oddHeader>
    <oddFooter>&amp;R&amp;"Trebuchet MS,보통"Page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showGridLines="0" view="pageBreakPreview" zoomScale="91" zoomScaleNormal="90" zoomScaleSheetLayoutView="91" workbookViewId="0"/>
  </sheetViews>
  <sheetFormatPr defaultRowHeight="15"/>
  <cols>
    <col min="1" max="1" width="20.42578125" style="77" customWidth="1"/>
    <col min="2" max="2" width="3.7109375" style="77" customWidth="1"/>
    <col min="3" max="3" width="29.140625" style="77" customWidth="1"/>
    <col min="4" max="4" width="6.28515625" style="77" customWidth="1"/>
    <col min="5" max="6" width="9.42578125" style="77" customWidth="1"/>
    <col min="7" max="7" width="8.28515625" style="77" customWidth="1"/>
    <col min="8" max="8" width="6.28515625" style="77" customWidth="1"/>
    <col min="9" max="9" width="9.42578125" style="77" customWidth="1"/>
    <col min="10" max="10" width="8.85546875" style="77" customWidth="1"/>
    <col min="11" max="11" width="9" style="77" customWidth="1"/>
    <col min="12" max="12" width="6.28515625" style="77" customWidth="1"/>
    <col min="13" max="14" width="9.42578125" style="77" customWidth="1"/>
    <col min="15" max="15" width="8" style="77" customWidth="1"/>
    <col min="16" max="16" width="6.28515625" style="77" customWidth="1"/>
    <col min="17" max="18" width="9.42578125" style="77" customWidth="1"/>
    <col min="19" max="19" width="8" style="77" customWidth="1"/>
    <col min="20" max="16384" width="9.140625" style="77"/>
  </cols>
  <sheetData>
    <row r="1" spans="1:23" ht="37.5" customHeight="1">
      <c r="A1" s="825"/>
      <c r="B1" s="168"/>
      <c r="C1" s="629" t="s">
        <v>98</v>
      </c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</row>
    <row r="2" spans="1:23" ht="18" customHeight="1">
      <c r="A2" s="169"/>
    </row>
    <row r="3" spans="1:23" ht="18" customHeight="1">
      <c r="A3" s="169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</row>
    <row r="4" spans="1:23" ht="18" customHeight="1">
      <c r="A4" s="16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</row>
    <row r="5" spans="1:23" ht="18" customHeight="1">
      <c r="A5" s="16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</row>
    <row r="6" spans="1:23" ht="18" customHeight="1">
      <c r="A6" s="174"/>
      <c r="B6" s="109"/>
      <c r="C6" s="492"/>
      <c r="D6" s="492"/>
      <c r="E6" s="1319" t="s">
        <v>528</v>
      </c>
      <c r="F6" s="1319"/>
      <c r="G6" s="1319"/>
      <c r="H6" s="492"/>
      <c r="I6" s="1319" t="s">
        <v>523</v>
      </c>
      <c r="J6" s="1319"/>
      <c r="K6" s="1319"/>
      <c r="L6" s="492"/>
      <c r="M6" s="1319" t="s">
        <v>524</v>
      </c>
      <c r="N6" s="1319"/>
      <c r="O6" s="1319"/>
      <c r="P6" s="492"/>
      <c r="Q6" s="1319" t="s">
        <v>525</v>
      </c>
      <c r="R6" s="1319"/>
      <c r="S6" s="1319"/>
    </row>
    <row r="7" spans="1:23" ht="18" customHeight="1">
      <c r="A7" s="174"/>
      <c r="B7" s="109"/>
      <c r="C7" s="493" t="s">
        <v>76</v>
      </c>
      <c r="D7" s="493"/>
      <c r="E7" s="1320" t="s">
        <v>348</v>
      </c>
      <c r="F7" s="1320" t="s">
        <v>349</v>
      </c>
      <c r="G7" s="1316" t="s">
        <v>11</v>
      </c>
      <c r="H7" s="493"/>
      <c r="I7" s="1320" t="s">
        <v>348</v>
      </c>
      <c r="J7" s="1320" t="s">
        <v>349</v>
      </c>
      <c r="K7" s="1316" t="s">
        <v>11</v>
      </c>
      <c r="L7" s="493"/>
      <c r="M7" s="1320" t="s">
        <v>348</v>
      </c>
      <c r="N7" s="1320" t="s">
        <v>349</v>
      </c>
      <c r="O7" s="1316" t="s">
        <v>11</v>
      </c>
      <c r="P7" s="493"/>
      <c r="Q7" s="1320" t="s">
        <v>348</v>
      </c>
      <c r="R7" s="1320" t="s">
        <v>349</v>
      </c>
      <c r="S7" s="1316" t="s">
        <v>11</v>
      </c>
    </row>
    <row r="8" spans="1:23" ht="18" customHeight="1">
      <c r="A8" s="174"/>
      <c r="B8" s="109"/>
      <c r="C8" s="488" t="s">
        <v>99</v>
      </c>
      <c r="D8" s="839"/>
      <c r="E8" s="1321"/>
      <c r="F8" s="1321"/>
      <c r="G8" s="1317"/>
      <c r="H8" s="839"/>
      <c r="I8" s="1321"/>
      <c r="J8" s="1321"/>
      <c r="K8" s="1317"/>
      <c r="L8" s="839"/>
      <c r="M8" s="1321"/>
      <c r="N8" s="1321"/>
      <c r="O8" s="1317"/>
      <c r="P8" s="839"/>
      <c r="Q8" s="1321"/>
      <c r="R8" s="1321"/>
      <c r="S8" s="1317"/>
    </row>
    <row r="9" spans="1:23" ht="18.75" customHeight="1">
      <c r="A9" s="174"/>
      <c r="B9" s="109"/>
      <c r="C9" s="690" t="s">
        <v>100</v>
      </c>
      <c r="D9" s="491"/>
      <c r="E9" s="1127">
        <v>17560.451000000001</v>
      </c>
      <c r="F9" s="1128">
        <v>0</v>
      </c>
      <c r="G9" s="589">
        <f>E9+F9</f>
        <v>17560.451000000001</v>
      </c>
      <c r="H9" s="491"/>
      <c r="I9" s="1127">
        <v>17742.182000000001</v>
      </c>
      <c r="J9" s="1128">
        <v>0</v>
      </c>
      <c r="K9" s="589">
        <f>I9+J9</f>
        <v>17742.182000000001</v>
      </c>
      <c r="L9" s="491"/>
      <c r="M9" s="588">
        <v>20374.114000000001</v>
      </c>
      <c r="N9" s="821">
        <v>0</v>
      </c>
      <c r="O9" s="589">
        <f>M9+N9</f>
        <v>20374.114000000001</v>
      </c>
      <c r="P9" s="491"/>
      <c r="Q9" s="588">
        <v>20833.276000000002</v>
      </c>
      <c r="R9" s="821">
        <v>0</v>
      </c>
      <c r="S9" s="589">
        <f>Q9+R9</f>
        <v>20833.276000000002</v>
      </c>
      <c r="U9" s="180"/>
      <c r="V9" s="181"/>
      <c r="W9" s="182"/>
    </row>
    <row r="10" spans="1:23" ht="18.75" customHeight="1">
      <c r="A10" s="174"/>
      <c r="B10" s="109"/>
      <c r="C10" s="690" t="s">
        <v>101</v>
      </c>
      <c r="D10" s="491"/>
      <c r="E10" s="1127">
        <v>68046.884000000005</v>
      </c>
      <c r="F10" s="1127">
        <v>0</v>
      </c>
      <c r="G10" s="589">
        <f>E10+F10</f>
        <v>68046.884000000005</v>
      </c>
      <c r="H10" s="491"/>
      <c r="I10" s="1127">
        <v>66373.384999999995</v>
      </c>
      <c r="J10" s="1127">
        <v>0.02</v>
      </c>
      <c r="K10" s="589">
        <f>I10+J10</f>
        <v>66373.404999999999</v>
      </c>
      <c r="L10" s="491"/>
      <c r="M10" s="588">
        <v>66650.835000000006</v>
      </c>
      <c r="N10" s="588">
        <v>0.02</v>
      </c>
      <c r="O10" s="589">
        <f>M10+N10</f>
        <v>66650.85500000001</v>
      </c>
      <c r="P10" s="491"/>
      <c r="Q10" s="588">
        <v>66012.37</v>
      </c>
      <c r="R10" s="588">
        <v>0.02</v>
      </c>
      <c r="S10" s="589">
        <f>Q10+R10</f>
        <v>66012.39</v>
      </c>
      <c r="U10" s="180"/>
      <c r="V10" s="180"/>
      <c r="W10" s="182"/>
    </row>
    <row r="11" spans="1:23" ht="18.75" customHeight="1" thickBot="1">
      <c r="A11" s="174"/>
      <c r="B11" s="109"/>
      <c r="C11" s="691" t="s">
        <v>102</v>
      </c>
      <c r="D11" s="491"/>
      <c r="E11" s="1129">
        <v>33086.402999999998</v>
      </c>
      <c r="F11" s="1129">
        <v>0</v>
      </c>
      <c r="G11" s="592">
        <f>E11+F11</f>
        <v>33086.402999999998</v>
      </c>
      <c r="H11" s="491"/>
      <c r="I11" s="1129">
        <v>32234.438999999998</v>
      </c>
      <c r="J11" s="1129">
        <v>0.02</v>
      </c>
      <c r="K11" s="592">
        <f>I11+J11</f>
        <v>32234.458999999999</v>
      </c>
      <c r="L11" s="491"/>
      <c r="M11" s="591">
        <v>31724.620999999999</v>
      </c>
      <c r="N11" s="591">
        <v>0.02</v>
      </c>
      <c r="O11" s="592">
        <f>M11+N11</f>
        <v>31724.641</v>
      </c>
      <c r="P11" s="491"/>
      <c r="Q11" s="591">
        <v>30993.438999999998</v>
      </c>
      <c r="R11" s="591">
        <v>0.02</v>
      </c>
      <c r="S11" s="592">
        <f>Q11+R11</f>
        <v>30993.458999999999</v>
      </c>
      <c r="U11" s="180"/>
      <c r="V11" s="180"/>
      <c r="W11" s="182"/>
    </row>
    <row r="12" spans="1:23" ht="18.75" customHeight="1" thickBot="1">
      <c r="A12" s="174"/>
      <c r="B12" s="109"/>
      <c r="C12" s="692" t="s">
        <v>103</v>
      </c>
      <c r="D12" s="489"/>
      <c r="E12" s="1130">
        <f>E9+E10</f>
        <v>85607.335000000006</v>
      </c>
      <c r="F12" s="1130">
        <f>F9+F10</f>
        <v>0</v>
      </c>
      <c r="G12" s="592">
        <f>G9+G10</f>
        <v>85607.335000000006</v>
      </c>
      <c r="H12" s="489"/>
      <c r="I12" s="1130">
        <f>I9+I10</f>
        <v>84115.566999999995</v>
      </c>
      <c r="J12" s="1130">
        <f>J9+J10</f>
        <v>0.02</v>
      </c>
      <c r="K12" s="592">
        <f>K9+K10</f>
        <v>84115.587</v>
      </c>
      <c r="L12" s="489"/>
      <c r="M12" s="592">
        <f>M9+M10</f>
        <v>87024.949000000008</v>
      </c>
      <c r="N12" s="595">
        <f>N9+N10</f>
        <v>0.02</v>
      </c>
      <c r="O12" s="592">
        <f>O9+O10</f>
        <v>87024.969000000012</v>
      </c>
      <c r="P12" s="489"/>
      <c r="Q12" s="592">
        <f>Q9+Q10</f>
        <v>86845.645999999993</v>
      </c>
      <c r="R12" s="595">
        <f>R9+R10</f>
        <v>0.02</v>
      </c>
      <c r="S12" s="592">
        <f>S9+S10</f>
        <v>86845.665999999997</v>
      </c>
      <c r="U12" s="182"/>
      <c r="V12" s="182"/>
      <c r="W12" s="182"/>
    </row>
    <row r="13" spans="1:23" ht="32.25" customHeight="1">
      <c r="A13" s="174"/>
      <c r="B13" s="109"/>
      <c r="C13" s="183"/>
      <c r="D13" s="491"/>
      <c r="E13" s="1131"/>
      <c r="F13" s="1132"/>
      <c r="G13" s="950"/>
      <c r="H13" s="491"/>
      <c r="I13" s="1131"/>
      <c r="J13" s="1132"/>
      <c r="K13" s="950"/>
      <c r="L13" s="491"/>
      <c r="M13" s="596"/>
      <c r="N13" s="321"/>
      <c r="O13" s="597"/>
      <c r="P13" s="491"/>
      <c r="Q13" s="596"/>
      <c r="R13" s="321"/>
      <c r="S13" s="597"/>
      <c r="U13" s="180"/>
      <c r="V13" s="180"/>
      <c r="W13" s="182"/>
    </row>
    <row r="14" spans="1:23" ht="18" customHeight="1">
      <c r="A14" s="174"/>
      <c r="B14" s="109"/>
      <c r="C14" s="489" t="s">
        <v>104</v>
      </c>
      <c r="D14" s="489"/>
      <c r="E14" s="1132"/>
      <c r="F14" s="1132"/>
      <c r="G14" s="950"/>
      <c r="H14" s="489"/>
      <c r="I14" s="1132"/>
      <c r="J14" s="1132"/>
      <c r="K14" s="950"/>
      <c r="L14" s="489"/>
      <c r="M14" s="321"/>
      <c r="N14" s="321"/>
      <c r="O14" s="597"/>
      <c r="P14" s="489"/>
      <c r="Q14" s="321"/>
      <c r="R14" s="321"/>
      <c r="S14" s="597"/>
      <c r="U14" s="180"/>
      <c r="V14" s="180"/>
      <c r="W14" s="182"/>
    </row>
    <row r="15" spans="1:23" ht="18" customHeight="1">
      <c r="A15" s="174"/>
      <c r="B15" s="109"/>
      <c r="C15" s="490" t="s">
        <v>105</v>
      </c>
      <c r="D15" s="489"/>
      <c r="E15" s="1133"/>
      <c r="F15" s="1133"/>
      <c r="G15" s="951"/>
      <c r="H15" s="489"/>
      <c r="I15" s="1133"/>
      <c r="J15" s="1133"/>
      <c r="K15" s="951"/>
      <c r="L15" s="489"/>
      <c r="M15" s="322"/>
      <c r="N15" s="322"/>
      <c r="O15" s="598"/>
      <c r="P15" s="489"/>
      <c r="Q15" s="322"/>
      <c r="R15" s="322"/>
      <c r="S15" s="598"/>
      <c r="U15" s="180"/>
      <c r="V15" s="180"/>
      <c r="W15" s="182"/>
    </row>
    <row r="16" spans="1:23" ht="18.75" customHeight="1">
      <c r="A16" s="174"/>
      <c r="B16" s="109"/>
      <c r="C16" s="693" t="s">
        <v>106</v>
      </c>
      <c r="D16" s="491"/>
      <c r="E16" s="1127">
        <v>4323.732</v>
      </c>
      <c r="F16" s="1128">
        <v>0</v>
      </c>
      <c r="G16" s="589">
        <f>E16+F16</f>
        <v>4323.732</v>
      </c>
      <c r="H16" s="491"/>
      <c r="I16" s="1127">
        <v>4236.9009999999998</v>
      </c>
      <c r="J16" s="1128">
        <v>0</v>
      </c>
      <c r="K16" s="589">
        <f>I16+J16</f>
        <v>4236.9009999999998</v>
      </c>
      <c r="L16" s="491"/>
      <c r="M16" s="588">
        <v>4126.43</v>
      </c>
      <c r="N16" s="821">
        <v>0</v>
      </c>
      <c r="O16" s="589">
        <f>M16+N16</f>
        <v>4126.43</v>
      </c>
      <c r="P16" s="491"/>
      <c r="Q16" s="588">
        <v>4145.4979999999996</v>
      </c>
      <c r="R16" s="821">
        <v>0</v>
      </c>
      <c r="S16" s="589">
        <f>Q16+R16</f>
        <v>4145.4979999999996</v>
      </c>
      <c r="T16" s="86"/>
      <c r="U16" s="180"/>
      <c r="V16" s="185"/>
      <c r="W16" s="182"/>
    </row>
    <row r="17" spans="1:23" ht="18.75" customHeight="1" thickBot="1">
      <c r="A17" s="174"/>
      <c r="B17" s="109"/>
      <c r="C17" s="691" t="s">
        <v>107</v>
      </c>
      <c r="D17" s="491"/>
      <c r="E17" s="1134">
        <v>99052.679000000004</v>
      </c>
      <c r="F17" s="1134">
        <v>25.646999999999998</v>
      </c>
      <c r="G17" s="592">
        <f>E17+F17</f>
        <v>99078.326000000001</v>
      </c>
      <c r="H17" s="491"/>
      <c r="I17" s="1134">
        <v>98286.463000000003</v>
      </c>
      <c r="J17" s="1134">
        <v>24.196999999999999</v>
      </c>
      <c r="K17" s="592">
        <f>I17+J17</f>
        <v>98310.66</v>
      </c>
      <c r="L17" s="491"/>
      <c r="M17" s="593">
        <v>95139.967999999993</v>
      </c>
      <c r="N17" s="593">
        <v>22.497</v>
      </c>
      <c r="O17" s="592">
        <f>M17+N17</f>
        <v>95162.464999999997</v>
      </c>
      <c r="P17" s="491"/>
      <c r="Q17" s="593">
        <v>95250.45</v>
      </c>
      <c r="R17" s="593">
        <v>20.562000000000001</v>
      </c>
      <c r="S17" s="592">
        <f>Q17+R17</f>
        <v>95271.012000000002</v>
      </c>
      <c r="T17" s="86"/>
      <c r="U17" s="180"/>
      <c r="V17" s="180"/>
      <c r="W17" s="182"/>
    </row>
    <row r="18" spans="1:23" ht="18.75" customHeight="1" thickBot="1">
      <c r="A18" s="174"/>
      <c r="B18" s="109"/>
      <c r="C18" s="692" t="s">
        <v>103</v>
      </c>
      <c r="D18" s="489"/>
      <c r="E18" s="1135">
        <f>E16+E17</f>
        <v>103376.41100000001</v>
      </c>
      <c r="F18" s="1130">
        <f>F16+F17</f>
        <v>25.646999999999998</v>
      </c>
      <c r="G18" s="595">
        <f>G16+G17</f>
        <v>103402.058</v>
      </c>
      <c r="H18" s="489"/>
      <c r="I18" s="1135">
        <f>I16+I17</f>
        <v>102523.364</v>
      </c>
      <c r="J18" s="1130">
        <f>J16+J17</f>
        <v>24.196999999999999</v>
      </c>
      <c r="K18" s="595">
        <f>K16+K17</f>
        <v>102547.561</v>
      </c>
      <c r="L18" s="489"/>
      <c r="M18" s="592">
        <f>M16+M17</f>
        <v>99266.397999999986</v>
      </c>
      <c r="N18" s="595">
        <f>N16+N17</f>
        <v>22.497</v>
      </c>
      <c r="O18" s="595">
        <f>O16+O17</f>
        <v>99288.89499999999</v>
      </c>
      <c r="P18" s="489"/>
      <c r="Q18" s="592">
        <f>Q16+Q17</f>
        <v>99395.948000000004</v>
      </c>
      <c r="R18" s="595">
        <f>R16+R17</f>
        <v>20.562000000000001</v>
      </c>
      <c r="S18" s="595">
        <f>S16+S17</f>
        <v>99416.510000000009</v>
      </c>
      <c r="T18" s="86"/>
      <c r="U18" s="182"/>
      <c r="V18" s="182"/>
      <c r="W18" s="182"/>
    </row>
    <row r="19" spans="1:23" ht="32.25" customHeight="1">
      <c r="A19" s="174"/>
      <c r="B19" s="109"/>
      <c r="C19" s="491"/>
      <c r="D19" s="491"/>
      <c r="E19" s="1132"/>
      <c r="F19" s="1132"/>
      <c r="G19" s="982"/>
      <c r="H19" s="491"/>
      <c r="I19" s="1132"/>
      <c r="J19" s="1132"/>
      <c r="K19" s="982"/>
      <c r="L19" s="491"/>
      <c r="M19" s="321"/>
      <c r="N19" s="321"/>
      <c r="O19" s="597"/>
      <c r="P19" s="491"/>
      <c r="Q19" s="321"/>
      <c r="R19" s="321"/>
      <c r="S19" s="597"/>
      <c r="T19" s="86"/>
      <c r="U19" s="180"/>
      <c r="V19" s="180"/>
      <c r="W19" s="182"/>
    </row>
    <row r="20" spans="1:23" ht="18" customHeight="1">
      <c r="A20" s="174"/>
      <c r="B20" s="109"/>
      <c r="C20" s="490" t="s">
        <v>108</v>
      </c>
      <c r="D20" s="489"/>
      <c r="E20" s="1132"/>
      <c r="F20" s="1132"/>
      <c r="G20" s="982"/>
      <c r="H20" s="489"/>
      <c r="I20" s="1132"/>
      <c r="J20" s="1132"/>
      <c r="K20" s="982"/>
      <c r="L20" s="489"/>
      <c r="M20" s="321"/>
      <c r="N20" s="321"/>
      <c r="O20" s="597"/>
      <c r="P20" s="489"/>
      <c r="Q20" s="321"/>
      <c r="R20" s="321"/>
      <c r="S20" s="597"/>
      <c r="T20" s="86"/>
      <c r="U20" s="180"/>
      <c r="V20" s="180"/>
      <c r="W20" s="182"/>
    </row>
    <row r="21" spans="1:23" ht="18.75" customHeight="1">
      <c r="A21" s="174"/>
      <c r="B21" s="109"/>
      <c r="C21" s="693" t="s">
        <v>109</v>
      </c>
      <c r="D21" s="491"/>
      <c r="E21" s="1127">
        <v>32624.609</v>
      </c>
      <c r="F21" s="1127">
        <v>0.53</v>
      </c>
      <c r="G21" s="589">
        <f>E21+F21</f>
        <v>32625.138999999999</v>
      </c>
      <c r="H21" s="491"/>
      <c r="I21" s="1127">
        <v>32178.312999999998</v>
      </c>
      <c r="J21" s="1127">
        <v>0.53200000000000003</v>
      </c>
      <c r="K21" s="589">
        <f>I21+J21</f>
        <v>32178.844999999998</v>
      </c>
      <c r="L21" s="491"/>
      <c r="M21" s="588">
        <v>31868.67</v>
      </c>
      <c r="N21" s="588">
        <v>0.54</v>
      </c>
      <c r="O21" s="589">
        <f>M21+N21</f>
        <v>31869.21</v>
      </c>
      <c r="P21" s="491"/>
      <c r="Q21" s="588">
        <v>32440.131000000001</v>
      </c>
      <c r="R21" s="588">
        <v>0.54600000000000004</v>
      </c>
      <c r="S21" s="589">
        <f>Q21+R21</f>
        <v>32440.677</v>
      </c>
      <c r="T21" s="86"/>
      <c r="U21" s="180"/>
      <c r="V21" s="180"/>
      <c r="W21" s="182"/>
    </row>
    <row r="22" spans="1:23" ht="18.75" customHeight="1">
      <c r="A22" s="174"/>
      <c r="B22" s="109"/>
      <c r="C22" s="693" t="s">
        <v>110</v>
      </c>
      <c r="D22" s="491"/>
      <c r="E22" s="1127">
        <v>49066.96</v>
      </c>
      <c r="F22" s="1128">
        <v>0</v>
      </c>
      <c r="G22" s="589">
        <f>E22+F22</f>
        <v>49066.96</v>
      </c>
      <c r="H22" s="491"/>
      <c r="I22" s="1127">
        <v>48780.402000000002</v>
      </c>
      <c r="J22" s="1128">
        <v>0</v>
      </c>
      <c r="K22" s="589">
        <f>I22+J22</f>
        <v>48780.402000000002</v>
      </c>
      <c r="L22" s="491"/>
      <c r="M22" s="588">
        <v>46655.453000000001</v>
      </c>
      <c r="N22" s="821">
        <v>0</v>
      </c>
      <c r="O22" s="589">
        <f>M22+N22</f>
        <v>46655.453000000001</v>
      </c>
      <c r="P22" s="491"/>
      <c r="Q22" s="588">
        <v>46762.315000000002</v>
      </c>
      <c r="R22" s="821">
        <v>0</v>
      </c>
      <c r="S22" s="589">
        <f>Q22+R22</f>
        <v>46762.315000000002</v>
      </c>
      <c r="T22" s="86"/>
      <c r="U22" s="180"/>
      <c r="V22" s="181"/>
      <c r="W22" s="182"/>
    </row>
    <row r="23" spans="1:23" ht="18.75" customHeight="1">
      <c r="A23" s="174"/>
      <c r="B23" s="109"/>
      <c r="C23" s="694" t="s">
        <v>111</v>
      </c>
      <c r="D23" s="491"/>
      <c r="E23" s="1128">
        <v>0</v>
      </c>
      <c r="F23" s="1128">
        <v>0</v>
      </c>
      <c r="G23" s="590">
        <f>E23+F23</f>
        <v>0</v>
      </c>
      <c r="H23" s="491"/>
      <c r="I23" s="1128">
        <v>0</v>
      </c>
      <c r="J23" s="1128">
        <v>0</v>
      </c>
      <c r="K23" s="590">
        <f>I23+J23</f>
        <v>0</v>
      </c>
      <c r="L23" s="491"/>
      <c r="M23" s="821">
        <v>0</v>
      </c>
      <c r="N23" s="821">
        <v>0</v>
      </c>
      <c r="O23" s="590">
        <f>M23+N23</f>
        <v>0</v>
      </c>
      <c r="P23" s="491"/>
      <c r="Q23" s="821">
        <v>0</v>
      </c>
      <c r="R23" s="821">
        <v>0</v>
      </c>
      <c r="S23" s="590">
        <f>Q23+R23</f>
        <v>0</v>
      </c>
      <c r="T23" s="86"/>
      <c r="U23" s="181"/>
      <c r="V23" s="181"/>
      <c r="W23" s="186"/>
    </row>
    <row r="24" spans="1:23" ht="18.75" customHeight="1" thickBot="1">
      <c r="A24" s="174"/>
      <c r="B24" s="109"/>
      <c r="C24" s="691" t="s">
        <v>112</v>
      </c>
      <c r="D24" s="491"/>
      <c r="E24" s="1134">
        <v>21684.842000000001</v>
      </c>
      <c r="F24" s="1136">
        <v>25.116</v>
      </c>
      <c r="G24" s="592">
        <f>E24+F24</f>
        <v>21709.958000000002</v>
      </c>
      <c r="H24" s="491"/>
      <c r="I24" s="1134">
        <v>21564.649000000001</v>
      </c>
      <c r="J24" s="1136">
        <v>23.664999999999999</v>
      </c>
      <c r="K24" s="592">
        <f>I24+J24</f>
        <v>21588.314000000002</v>
      </c>
      <c r="L24" s="491"/>
      <c r="M24" s="593">
        <v>20742.276000000002</v>
      </c>
      <c r="N24" s="594">
        <v>21.957000000000001</v>
      </c>
      <c r="O24" s="592">
        <f>M24+N24</f>
        <v>20764.233</v>
      </c>
      <c r="P24" s="491"/>
      <c r="Q24" s="593">
        <v>20193.502</v>
      </c>
      <c r="R24" s="594">
        <v>20.015999999999998</v>
      </c>
      <c r="S24" s="592">
        <f>Q24+R24</f>
        <v>20213.518</v>
      </c>
      <c r="T24" s="86"/>
      <c r="U24" s="180"/>
      <c r="V24" s="180"/>
      <c r="W24" s="182"/>
    </row>
    <row r="25" spans="1:23" ht="18.75" customHeight="1" thickBot="1">
      <c r="A25" s="174"/>
      <c r="B25" s="109"/>
      <c r="C25" s="692" t="s">
        <v>103</v>
      </c>
      <c r="D25" s="489"/>
      <c r="E25" s="1130">
        <f>SUM(E21:E24)</f>
        <v>103376.41100000001</v>
      </c>
      <c r="F25" s="1130">
        <f>SUM(F21:F24)</f>
        <v>25.646000000000001</v>
      </c>
      <c r="G25" s="592">
        <f>SUM(G21:G24)</f>
        <v>103402.057</v>
      </c>
      <c r="H25" s="489"/>
      <c r="I25" s="1130">
        <f>SUM(I21:I24)</f>
        <v>102523.364</v>
      </c>
      <c r="J25" s="1130">
        <f>SUM(J21:J24)</f>
        <v>24.196999999999999</v>
      </c>
      <c r="K25" s="592">
        <f>SUM(K21:K24)</f>
        <v>102547.561</v>
      </c>
      <c r="L25" s="489"/>
      <c r="M25" s="595">
        <f>SUM(M21:M24)</f>
        <v>99266.39899999999</v>
      </c>
      <c r="N25" s="595">
        <f>SUM(N21:N24)</f>
        <v>22.497</v>
      </c>
      <c r="O25" s="592">
        <f>SUM(O21:O24)</f>
        <v>99288.896000000008</v>
      </c>
      <c r="P25" s="489"/>
      <c r="Q25" s="595">
        <f>SUM(Q21:Q24)</f>
        <v>99395.948000000004</v>
      </c>
      <c r="R25" s="595">
        <f>SUM(R21:R24)</f>
        <v>20.561999999999998</v>
      </c>
      <c r="S25" s="592">
        <f>SUM(S21:S24)</f>
        <v>99416.51</v>
      </c>
      <c r="T25" s="86"/>
      <c r="U25" s="182"/>
      <c r="V25" s="182"/>
      <c r="W25" s="182"/>
    </row>
    <row r="26" spans="1:23" ht="32.25" customHeight="1">
      <c r="A26" s="174"/>
      <c r="B26" s="109"/>
      <c r="C26" s="183"/>
      <c r="D26" s="491"/>
      <c r="E26" s="1132"/>
      <c r="F26" s="1132"/>
      <c r="G26" s="952"/>
      <c r="H26" s="491"/>
      <c r="I26" s="1132"/>
      <c r="J26" s="1132"/>
      <c r="K26" s="952"/>
      <c r="L26" s="491"/>
      <c r="M26" s="321"/>
      <c r="N26" s="321"/>
      <c r="O26" s="599"/>
      <c r="P26" s="491"/>
      <c r="Q26" s="321"/>
      <c r="R26" s="321"/>
      <c r="S26" s="599"/>
      <c r="T26" s="86"/>
      <c r="U26" s="180"/>
      <c r="V26" s="180"/>
      <c r="W26" s="182"/>
    </row>
    <row r="27" spans="1:23" ht="18" customHeight="1">
      <c r="A27" s="174"/>
      <c r="B27" s="109"/>
      <c r="C27" s="490" t="s">
        <v>113</v>
      </c>
      <c r="D27" s="489"/>
      <c r="E27" s="1133"/>
      <c r="F27" s="1133"/>
      <c r="G27" s="951"/>
      <c r="H27" s="489"/>
      <c r="I27" s="1133"/>
      <c r="J27" s="1133"/>
      <c r="K27" s="951"/>
      <c r="L27" s="489"/>
      <c r="M27" s="322"/>
      <c r="N27" s="322"/>
      <c r="O27" s="598"/>
      <c r="P27" s="489"/>
      <c r="Q27" s="322"/>
      <c r="R27" s="322"/>
      <c r="S27" s="598"/>
      <c r="T27" s="86"/>
      <c r="U27" s="180"/>
      <c r="V27" s="180"/>
      <c r="W27" s="182"/>
    </row>
    <row r="28" spans="1:23" ht="27.75" customHeight="1" thickBot="1">
      <c r="A28" s="174"/>
      <c r="B28" s="109"/>
      <c r="C28" s="691" t="s">
        <v>114</v>
      </c>
      <c r="D28" s="491"/>
      <c r="E28" s="1135">
        <v>2925.5259999999998</v>
      </c>
      <c r="F28" s="1129">
        <v>1E-3</v>
      </c>
      <c r="G28" s="595">
        <f>E28+F28</f>
        <v>2925.527</v>
      </c>
      <c r="H28" s="491"/>
      <c r="I28" s="1135">
        <v>3318.5810000000001</v>
      </c>
      <c r="J28" s="1129">
        <v>1E-3</v>
      </c>
      <c r="K28" s="595">
        <f>I28+J28</f>
        <v>3318.5820000000003</v>
      </c>
      <c r="L28" s="491"/>
      <c r="M28" s="592">
        <v>3347.24</v>
      </c>
      <c r="N28" s="591">
        <v>1E-3</v>
      </c>
      <c r="O28" s="595">
        <f>M28+N28</f>
        <v>3347.241</v>
      </c>
      <c r="P28" s="491"/>
      <c r="Q28" s="592">
        <v>3563.3870000000002</v>
      </c>
      <c r="R28" s="591">
        <v>1.0999999999999999E-2</v>
      </c>
      <c r="S28" s="595">
        <f>Q28+R28</f>
        <v>3563.3980000000001</v>
      </c>
      <c r="T28" s="86"/>
      <c r="U28" s="180"/>
      <c r="V28" s="181"/>
      <c r="W28" s="182"/>
    </row>
    <row r="29" spans="1:23" ht="18" customHeight="1">
      <c r="A29" s="174"/>
      <c r="B29" s="109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</row>
    <row r="30" spans="1:23">
      <c r="A30" s="174"/>
      <c r="B30" s="109"/>
      <c r="C30" s="188" t="s">
        <v>394</v>
      </c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</row>
    <row r="31" spans="1:23">
      <c r="A31" s="174"/>
      <c r="B31" s="109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</row>
    <row r="32" spans="1:23">
      <c r="A32" s="174"/>
      <c r="B32" s="109"/>
      <c r="C32" s="441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</row>
    <row r="33" spans="1:19" ht="6" customHeight="1">
      <c r="A33" s="189"/>
      <c r="B33" s="19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</row>
    <row r="34" spans="1:19">
      <c r="A34" s="189"/>
      <c r="B34" s="190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3"/>
      <c r="S34" s="443"/>
    </row>
    <row r="35" spans="1:19">
      <c r="A35" s="189"/>
      <c r="B35" s="19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</row>
    <row r="36" spans="1:19">
      <c r="A36" s="190"/>
      <c r="B36" s="19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</row>
    <row r="37" spans="1:19">
      <c r="A37" s="190"/>
      <c r="B37" s="19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</row>
    <row r="38" spans="1:19">
      <c r="A38" s="190"/>
      <c r="B38" s="19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</row>
    <row r="39" spans="1:19">
      <c r="A39" s="190"/>
      <c r="B39" s="19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</row>
    <row r="40" spans="1:19">
      <c r="A40" s="190"/>
      <c r="B40" s="190"/>
      <c r="C40" s="444"/>
      <c r="D40" s="444"/>
      <c r="E40" s="444"/>
      <c r="F40" s="444"/>
      <c r="G40" s="444"/>
      <c r="H40" s="444"/>
      <c r="I40" s="444"/>
      <c r="J40" s="444"/>
      <c r="K40" s="444"/>
      <c r="L40" s="444"/>
      <c r="M40" s="444"/>
      <c r="N40" s="444"/>
      <c r="O40" s="444"/>
      <c r="P40" s="444"/>
      <c r="Q40" s="444"/>
      <c r="R40" s="444"/>
      <c r="S40" s="444"/>
    </row>
    <row r="41" spans="1:19">
      <c r="A41" s="190"/>
      <c r="B41" s="19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</row>
    <row r="42" spans="1:19">
      <c r="A42" s="190"/>
      <c r="B42" s="19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</row>
    <row r="43" spans="1:19">
      <c r="A43" s="190"/>
      <c r="B43" s="190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</row>
    <row r="44" spans="1:19">
      <c r="A44" s="190"/>
      <c r="B44" s="190"/>
      <c r="C44" s="444"/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4"/>
      <c r="O44" s="444"/>
      <c r="P44" s="444"/>
      <c r="Q44" s="444"/>
      <c r="R44" s="444"/>
      <c r="S44" s="444"/>
    </row>
    <row r="45" spans="1:19">
      <c r="A45" s="190"/>
      <c r="B45" s="19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</row>
    <row r="46" spans="1:19">
      <c r="A46" s="190"/>
      <c r="B46" s="19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</row>
    <row r="47" spans="1:19">
      <c r="A47" s="190"/>
      <c r="B47" s="19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</row>
    <row r="48" spans="1:19">
      <c r="A48" s="190"/>
      <c r="B48" s="190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</row>
    <row r="49" spans="1:19">
      <c r="A49" s="190"/>
      <c r="B49" s="190"/>
      <c r="C49" s="445"/>
      <c r="D49" s="445"/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5"/>
      <c r="R49" s="445"/>
      <c r="S49" s="445"/>
    </row>
    <row r="50" spans="1:19">
      <c r="A50" s="190"/>
      <c r="B50" s="190"/>
      <c r="C50" s="445"/>
      <c r="D50" s="445"/>
      <c r="E50" s="445"/>
      <c r="F50" s="445"/>
      <c r="G50" s="445"/>
      <c r="H50" s="445"/>
      <c r="I50" s="445"/>
      <c r="J50" s="445"/>
      <c r="K50" s="445"/>
      <c r="L50" s="445"/>
      <c r="M50" s="445"/>
      <c r="N50" s="445"/>
      <c r="O50" s="445"/>
      <c r="P50" s="445"/>
      <c r="Q50" s="445"/>
      <c r="R50" s="445"/>
      <c r="S50" s="445"/>
    </row>
    <row r="51" spans="1:19">
      <c r="A51" s="27"/>
      <c r="B51" s="27"/>
      <c r="C51" s="445"/>
      <c r="D51" s="445"/>
      <c r="E51" s="445"/>
      <c r="F51" s="445"/>
      <c r="G51" s="445"/>
      <c r="H51" s="445"/>
      <c r="I51" s="445"/>
      <c r="J51" s="445"/>
      <c r="K51" s="445"/>
      <c r="L51" s="445"/>
      <c r="M51" s="445"/>
      <c r="N51" s="445"/>
      <c r="O51" s="445"/>
      <c r="P51" s="445"/>
      <c r="Q51" s="445"/>
      <c r="R51" s="445"/>
      <c r="S51" s="445"/>
    </row>
    <row r="52" spans="1:19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</row>
    <row r="53" spans="1:19" ht="19.5">
      <c r="A53" s="27"/>
      <c r="B53" s="27"/>
      <c r="C53" s="1318"/>
      <c r="D53" s="1318"/>
      <c r="E53" s="1318"/>
      <c r="F53" s="1318"/>
      <c r="G53" s="1318"/>
      <c r="H53" s="1318"/>
      <c r="I53" s="1318"/>
      <c r="J53" s="1318"/>
      <c r="K53" s="1318"/>
      <c r="L53" s="1318"/>
      <c r="M53" s="1318"/>
      <c r="N53" s="1318"/>
      <c r="O53" s="1318"/>
      <c r="P53" s="1318"/>
      <c r="Q53" s="1318"/>
      <c r="R53" s="1318"/>
      <c r="S53" s="1318"/>
    </row>
    <row r="54" spans="1:19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</row>
    <row r="55" spans="1:19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</row>
    <row r="56" spans="1:19" ht="18">
      <c r="A56" s="27"/>
      <c r="B56" s="27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</row>
    <row r="57" spans="1:19" ht="15.75">
      <c r="A57" s="27"/>
      <c r="B57" s="27"/>
      <c r="C57" s="446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6"/>
      <c r="O57" s="446"/>
      <c r="P57" s="446"/>
      <c r="Q57" s="446"/>
      <c r="R57" s="446"/>
      <c r="S57" s="446"/>
    </row>
    <row r="58" spans="1:19">
      <c r="A58" s="190"/>
      <c r="B58" s="19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</row>
    <row r="59" spans="1:19">
      <c r="A59" s="190"/>
      <c r="B59" s="190"/>
      <c r="C59" s="443"/>
      <c r="D59" s="443"/>
      <c r="E59" s="443"/>
      <c r="F59" s="443"/>
      <c r="G59" s="443"/>
      <c r="H59" s="443"/>
      <c r="I59" s="443"/>
      <c r="J59" s="443"/>
      <c r="K59" s="443"/>
      <c r="L59" s="443"/>
      <c r="M59" s="443"/>
      <c r="N59" s="443"/>
      <c r="O59" s="443"/>
      <c r="P59" s="443"/>
      <c r="Q59" s="443"/>
      <c r="R59" s="443"/>
      <c r="S59" s="443"/>
    </row>
    <row r="60" spans="1:19">
      <c r="A60" s="190"/>
      <c r="B60" s="19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</row>
    <row r="61" spans="1:19">
      <c r="A61" s="190"/>
      <c r="B61" s="19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</row>
    <row r="62" spans="1:19">
      <c r="A62" s="190"/>
      <c r="B62" s="19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</row>
    <row r="63" spans="1:19">
      <c r="A63" s="190"/>
      <c r="B63" s="19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</row>
    <row r="64" spans="1:19">
      <c r="A64" s="190"/>
      <c r="B64" s="19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</row>
    <row r="65" spans="1:19">
      <c r="A65" s="190"/>
      <c r="B65" s="190"/>
      <c r="C65" s="444"/>
      <c r="D65" s="444"/>
      <c r="E65" s="444"/>
      <c r="F65" s="444"/>
      <c r="G65" s="444"/>
      <c r="H65" s="444"/>
      <c r="I65" s="444"/>
      <c r="J65" s="444"/>
      <c r="K65" s="444"/>
      <c r="L65" s="444"/>
      <c r="M65" s="444"/>
      <c r="N65" s="444"/>
      <c r="O65" s="444"/>
      <c r="P65" s="444"/>
      <c r="Q65" s="444"/>
      <c r="R65" s="444"/>
      <c r="S65" s="444"/>
    </row>
    <row r="66" spans="1:19">
      <c r="A66" s="190"/>
      <c r="B66" s="19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</row>
    <row r="67" spans="1:19">
      <c r="A67" s="190"/>
      <c r="B67" s="19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</row>
    <row r="68" spans="1:19">
      <c r="A68" s="190"/>
      <c r="B68" s="19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</row>
    <row r="69" spans="1:19">
      <c r="A69" s="190"/>
      <c r="B69" s="190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4"/>
      <c r="O69" s="444"/>
      <c r="P69" s="444"/>
      <c r="Q69" s="444"/>
      <c r="R69" s="444"/>
      <c r="S69" s="444"/>
    </row>
    <row r="70" spans="1:19">
      <c r="A70" s="190"/>
      <c r="B70" s="19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</row>
    <row r="71" spans="1:19">
      <c r="A71" s="190"/>
      <c r="B71" s="19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</row>
    <row r="72" spans="1:19">
      <c r="A72" s="190"/>
      <c r="B72" s="19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</row>
    <row r="73" spans="1:19">
      <c r="A73" s="190"/>
      <c r="B73" s="19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</row>
    <row r="74" spans="1:19">
      <c r="A74" s="190"/>
      <c r="B74" s="190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</row>
    <row r="75" spans="1:19">
      <c r="A75" s="190"/>
      <c r="B75" s="190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</row>
    <row r="76" spans="1:19" ht="15.75">
      <c r="A76" s="27"/>
      <c r="B76" s="27"/>
      <c r="C76" s="446"/>
      <c r="D76" s="446"/>
      <c r="E76" s="446"/>
      <c r="F76" s="446"/>
      <c r="G76" s="446"/>
      <c r="H76" s="446"/>
      <c r="I76" s="446"/>
      <c r="J76" s="446"/>
      <c r="K76" s="446"/>
      <c r="L76" s="446"/>
      <c r="M76" s="446"/>
      <c r="N76" s="446"/>
      <c r="O76" s="446"/>
      <c r="P76" s="446"/>
      <c r="Q76" s="446"/>
      <c r="R76" s="446"/>
      <c r="S76" s="446"/>
    </row>
    <row r="77" spans="1:19">
      <c r="A77" s="190"/>
      <c r="B77" s="19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</row>
    <row r="78" spans="1:19">
      <c r="A78" s="190"/>
      <c r="B78" s="190"/>
      <c r="C78" s="443"/>
      <c r="D78" s="443"/>
      <c r="E78" s="443"/>
      <c r="F78" s="443"/>
      <c r="G78" s="443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</row>
    <row r="79" spans="1:19">
      <c r="A79" s="190"/>
      <c r="B79" s="190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</row>
    <row r="80" spans="1:19">
      <c r="A80" s="190"/>
      <c r="B80" s="19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</row>
    <row r="81" spans="1:19">
      <c r="A81" s="190"/>
      <c r="B81" s="19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</row>
    <row r="82" spans="1:19">
      <c r="A82" s="190"/>
      <c r="B82" s="19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</row>
    <row r="83" spans="1:19">
      <c r="A83" s="190"/>
      <c r="B83" s="19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</row>
    <row r="84" spans="1:19">
      <c r="A84" s="190"/>
      <c r="B84" s="190"/>
      <c r="C84" s="444"/>
      <c r="D84" s="444"/>
      <c r="E84" s="444"/>
      <c r="F84" s="444"/>
      <c r="G84" s="444"/>
      <c r="H84" s="444"/>
      <c r="I84" s="444"/>
      <c r="J84" s="444"/>
      <c r="K84" s="444"/>
      <c r="L84" s="444"/>
      <c r="M84" s="444"/>
      <c r="N84" s="444"/>
      <c r="O84" s="444"/>
      <c r="P84" s="444"/>
      <c r="Q84" s="444"/>
      <c r="R84" s="444"/>
      <c r="S84" s="444"/>
    </row>
    <row r="85" spans="1:19">
      <c r="A85" s="190"/>
      <c r="B85" s="19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</row>
    <row r="86" spans="1:19">
      <c r="A86" s="190"/>
      <c r="B86" s="19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</row>
    <row r="87" spans="1:19">
      <c r="A87" s="190"/>
      <c r="B87" s="190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</row>
    <row r="88" spans="1:19">
      <c r="A88" s="190"/>
      <c r="B88" s="190"/>
      <c r="C88" s="444"/>
      <c r="D88" s="444"/>
      <c r="E88" s="444"/>
      <c r="F88" s="444"/>
      <c r="G88" s="444"/>
      <c r="H88" s="444"/>
      <c r="I88" s="444"/>
      <c r="J88" s="444"/>
      <c r="K88" s="444"/>
      <c r="L88" s="444"/>
      <c r="M88" s="444"/>
      <c r="N88" s="444"/>
      <c r="O88" s="444"/>
      <c r="P88" s="444"/>
      <c r="Q88" s="444"/>
      <c r="R88" s="444"/>
      <c r="S88" s="444"/>
    </row>
    <row r="89" spans="1:19">
      <c r="A89" s="190"/>
      <c r="B89" s="190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</row>
    <row r="90" spans="1:19">
      <c r="A90" s="190"/>
      <c r="B90" s="19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</row>
    <row r="91" spans="1:19">
      <c r="A91" s="190"/>
      <c r="B91" s="190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</row>
    <row r="92" spans="1:19">
      <c r="A92" s="190"/>
      <c r="B92" s="190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</row>
    <row r="93" spans="1:19">
      <c r="A93" s="190"/>
      <c r="B93" s="190"/>
      <c r="C93" s="445"/>
      <c r="D93" s="445"/>
      <c r="E93" s="445"/>
      <c r="F93" s="445"/>
      <c r="G93" s="445"/>
      <c r="H93" s="445"/>
      <c r="I93" s="445"/>
      <c r="J93" s="445"/>
      <c r="K93" s="445"/>
      <c r="L93" s="445"/>
      <c r="M93" s="445"/>
      <c r="N93" s="445"/>
      <c r="O93" s="445"/>
      <c r="P93" s="445"/>
      <c r="Q93" s="445"/>
      <c r="R93" s="445"/>
      <c r="S93" s="445"/>
    </row>
    <row r="94" spans="1:19">
      <c r="A94" s="190"/>
      <c r="B94" s="190"/>
      <c r="C94" s="445"/>
      <c r="D94" s="445"/>
      <c r="E94" s="445"/>
      <c r="F94" s="445"/>
      <c r="G94" s="445"/>
      <c r="H94" s="445"/>
      <c r="I94" s="445"/>
      <c r="J94" s="445"/>
      <c r="K94" s="445"/>
      <c r="L94" s="445"/>
      <c r="M94" s="445"/>
      <c r="N94" s="445"/>
      <c r="O94" s="445"/>
      <c r="P94" s="445"/>
      <c r="Q94" s="445"/>
      <c r="R94" s="445"/>
      <c r="S94" s="445"/>
    </row>
    <row r="95" spans="1:19">
      <c r="A95" s="27"/>
      <c r="B95" s="27"/>
      <c r="C95" s="445"/>
      <c r="D95" s="445"/>
      <c r="E95" s="445"/>
      <c r="F95" s="445"/>
      <c r="G95" s="445"/>
      <c r="H95" s="445"/>
      <c r="I95" s="445"/>
      <c r="J95" s="445"/>
      <c r="K95" s="445"/>
      <c r="L95" s="445"/>
      <c r="M95" s="445"/>
      <c r="N95" s="445"/>
      <c r="O95" s="445"/>
      <c r="P95" s="445"/>
      <c r="Q95" s="445"/>
      <c r="R95" s="445"/>
      <c r="S95" s="445"/>
    </row>
    <row r="96" spans="1:19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</row>
    <row r="97" spans="1:19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</row>
  </sheetData>
  <mergeCells count="17">
    <mergeCell ref="Q6:S6"/>
    <mergeCell ref="S7:S8"/>
    <mergeCell ref="C53:S53"/>
    <mergeCell ref="I6:K6"/>
    <mergeCell ref="I7:I8"/>
    <mergeCell ref="J7:J8"/>
    <mergeCell ref="K7:K8"/>
    <mergeCell ref="M7:M8"/>
    <mergeCell ref="N7:N8"/>
    <mergeCell ref="M6:O6"/>
    <mergeCell ref="O7:O8"/>
    <mergeCell ref="E6:G6"/>
    <mergeCell ref="E7:E8"/>
    <mergeCell ref="F7:F8"/>
    <mergeCell ref="G7:G8"/>
    <mergeCell ref="Q7:Q8"/>
    <mergeCell ref="R7:R8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verticalDpi="0" r:id="rId1"/>
  <headerFooter>
    <oddHeader>&amp;R&amp;"Trebuchet MS,보통"&amp;12
www.wooribank.com</oddHeader>
    <oddFooter>&amp;R&amp;"Trebuchet MS,보통"Page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showGridLines="0" view="pageBreakPreview" zoomScale="91" zoomScaleNormal="100" zoomScaleSheetLayoutView="91" workbookViewId="0"/>
  </sheetViews>
  <sheetFormatPr defaultRowHeight="11.25"/>
  <cols>
    <col min="1" max="1" width="19.140625" style="143" customWidth="1"/>
    <col min="2" max="2" width="4.28515625" style="143" customWidth="1"/>
    <col min="3" max="3" width="18.7109375" style="143" customWidth="1"/>
    <col min="4" max="4" width="8.28515625" style="143" customWidth="1"/>
    <col min="5" max="5" width="2.7109375" style="143" customWidth="1"/>
    <col min="6" max="6" width="8.28515625" style="143" customWidth="1"/>
    <col min="7" max="7" width="8" style="143" customWidth="1"/>
    <col min="8" max="8" width="16.28515625" style="143" customWidth="1"/>
    <col min="9" max="9" width="8.28515625" style="217" customWidth="1"/>
    <col min="10" max="10" width="2.7109375" style="217" customWidth="1"/>
    <col min="11" max="11" width="8.28515625" style="217" customWidth="1"/>
    <col min="12" max="12" width="8" style="217" customWidth="1"/>
    <col min="13" max="13" width="17.85546875" style="217" customWidth="1"/>
    <col min="14" max="14" width="8.28515625" style="217" customWidth="1"/>
    <col min="15" max="15" width="2.7109375" style="217" customWidth="1"/>
    <col min="16" max="16" width="8.28515625" style="217" customWidth="1"/>
    <col min="17" max="17" width="1.85546875" style="143" customWidth="1"/>
    <col min="18" max="16384" width="9.140625" style="143"/>
  </cols>
  <sheetData>
    <row r="1" spans="1:17" s="119" customFormat="1" ht="30" customHeight="1">
      <c r="A1" s="826"/>
      <c r="B1" s="138"/>
      <c r="C1" s="629" t="s">
        <v>115</v>
      </c>
      <c r="D1" s="98"/>
      <c r="E1" s="98"/>
      <c r="F1" s="98"/>
      <c r="G1" s="98"/>
      <c r="H1" s="98"/>
      <c r="I1" s="214"/>
      <c r="J1" s="214"/>
      <c r="K1" s="214"/>
      <c r="L1" s="214"/>
      <c r="M1" s="214"/>
      <c r="N1" s="214"/>
      <c r="O1" s="214"/>
      <c r="P1" s="214"/>
      <c r="Q1" s="138"/>
    </row>
    <row r="2" spans="1:17" s="119" customFormat="1" ht="15.75" customHeight="1">
      <c r="A2" s="139"/>
      <c r="I2" s="215"/>
      <c r="J2" s="215"/>
      <c r="K2" s="215"/>
      <c r="L2" s="215"/>
      <c r="M2" s="215"/>
      <c r="N2" s="215"/>
      <c r="O2" s="215"/>
      <c r="P2" s="215"/>
    </row>
    <row r="3" spans="1:17" ht="17.25">
      <c r="A3" s="216"/>
      <c r="B3" s="137"/>
      <c r="C3" s="22" t="s">
        <v>410</v>
      </c>
    </row>
    <row r="4" spans="1:17">
      <c r="A4" s="216"/>
      <c r="B4" s="137"/>
    </row>
    <row r="5" spans="1:17" ht="16.5" customHeight="1">
      <c r="A5" s="216"/>
      <c r="B5" s="137"/>
      <c r="C5" s="494" t="s">
        <v>116</v>
      </c>
      <c r="D5" s="43"/>
      <c r="E5" s="43"/>
      <c r="F5" s="43"/>
      <c r="G5" s="218"/>
      <c r="H5" s="495" t="s">
        <v>117</v>
      </c>
      <c r="I5" s="219"/>
      <c r="J5" s="219"/>
      <c r="K5" s="219"/>
      <c r="L5" s="219"/>
      <c r="M5" s="495" t="s">
        <v>118</v>
      </c>
      <c r="N5" s="220"/>
    </row>
    <row r="6" spans="1:17" ht="16.5" customHeight="1">
      <c r="A6" s="216"/>
      <c r="B6" s="137"/>
      <c r="C6" s="447"/>
      <c r="D6" s="43"/>
      <c r="E6" s="43"/>
      <c r="F6" s="43"/>
      <c r="G6" s="218"/>
      <c r="H6" s="239"/>
      <c r="I6" s="219"/>
      <c r="J6" s="219"/>
      <c r="K6" s="219"/>
      <c r="L6" s="219"/>
      <c r="M6" s="239"/>
      <c r="N6" s="220"/>
    </row>
    <row r="7" spans="1:17" ht="16.5" customHeight="1">
      <c r="A7" s="216"/>
      <c r="B7" s="137"/>
      <c r="C7" s="144" t="s">
        <v>119</v>
      </c>
      <c r="D7" s="1322" t="s">
        <v>528</v>
      </c>
      <c r="E7" s="1322"/>
      <c r="F7" s="1322"/>
      <c r="G7" s="137"/>
      <c r="H7" s="144" t="s">
        <v>126</v>
      </c>
      <c r="I7" s="1322" t="s">
        <v>529</v>
      </c>
      <c r="J7" s="1322"/>
      <c r="K7" s="1322"/>
      <c r="L7" s="221"/>
      <c r="M7" s="144" t="s">
        <v>126</v>
      </c>
      <c r="N7" s="1322" t="str">
        <f>D7</f>
        <v>1Q17</v>
      </c>
      <c r="O7" s="1322"/>
      <c r="P7" s="1322"/>
    </row>
    <row r="8" spans="1:17" ht="16.5" customHeight="1">
      <c r="A8" s="216"/>
      <c r="B8" s="137"/>
      <c r="C8" s="695" t="s">
        <v>120</v>
      </c>
      <c r="D8" s="604">
        <f>SUM(D9:D15)-D11</f>
        <v>17560.5</v>
      </c>
      <c r="E8" s="953"/>
      <c r="F8" s="1042">
        <f>D8/$D$8</f>
        <v>1</v>
      </c>
      <c r="G8" s="137"/>
      <c r="H8" s="695" t="s">
        <v>127</v>
      </c>
      <c r="I8" s="604">
        <f>SUM(I9:I11)+1</f>
        <v>17561.399999999998</v>
      </c>
      <c r="J8" s="388"/>
      <c r="K8" s="1042">
        <f>I8/$I$8</f>
        <v>1</v>
      </c>
      <c r="L8" s="605"/>
      <c r="M8" s="695" t="s">
        <v>127</v>
      </c>
      <c r="N8" s="1048">
        <f>SUM(N9:N12)</f>
        <v>5178.8999999999996</v>
      </c>
      <c r="O8" s="600"/>
      <c r="P8" s="1042">
        <f>N8/$N$8</f>
        <v>1</v>
      </c>
      <c r="Q8" s="217"/>
    </row>
    <row r="9" spans="1:17" ht="16.5" customHeight="1">
      <c r="A9" s="216"/>
      <c r="B9" s="137"/>
      <c r="C9" s="688" t="s">
        <v>121</v>
      </c>
      <c r="D9" s="1191">
        <v>0</v>
      </c>
      <c r="E9" s="949"/>
      <c r="F9" s="601">
        <f t="shared" ref="F9:F14" si="0">ROUND(D9,0)/ROUND($D$8,0)</f>
        <v>0</v>
      </c>
      <c r="G9" s="137"/>
      <c r="H9" s="688" t="s">
        <v>128</v>
      </c>
      <c r="I9" s="797">
        <v>5179</v>
      </c>
      <c r="J9" s="390"/>
      <c r="K9" s="601">
        <f>ROUND(I9,0)/ROUND($I$8,0)</f>
        <v>0.2949148681737942</v>
      </c>
      <c r="L9" s="605"/>
      <c r="M9" s="688" t="s">
        <v>131</v>
      </c>
      <c r="N9" s="1137">
        <v>3104.2</v>
      </c>
      <c r="O9" s="600"/>
      <c r="P9" s="601">
        <f>ROUND(N9,0)/ROUND($N$8,0)</f>
        <v>0.59934350260668079</v>
      </c>
      <c r="Q9" s="217"/>
    </row>
    <row r="10" spans="1:17" ht="16.5" customHeight="1">
      <c r="A10" s="216"/>
      <c r="B10" s="137"/>
      <c r="C10" s="688" t="s">
        <v>122</v>
      </c>
      <c r="D10" s="797">
        <v>9648.2999999999993</v>
      </c>
      <c r="E10" s="949"/>
      <c r="F10" s="601">
        <f t="shared" si="0"/>
        <v>0.54939923694550419</v>
      </c>
      <c r="G10" s="137"/>
      <c r="H10" s="688" t="s">
        <v>129</v>
      </c>
      <c r="I10" s="797">
        <v>11601.6</v>
      </c>
      <c r="J10" s="390"/>
      <c r="K10" s="601">
        <f>ROUND(I10,0)/ROUND($I$8,0)</f>
        <v>0.66066852684926825</v>
      </c>
      <c r="L10" s="605"/>
      <c r="M10" s="688" t="s">
        <v>132</v>
      </c>
      <c r="N10" s="1137">
        <v>215.7</v>
      </c>
      <c r="O10" s="390"/>
      <c r="P10" s="601">
        <f>ROUND(N10,0)/ROUND($N$8,0)</f>
        <v>4.1706893222629854E-2</v>
      </c>
      <c r="Q10" s="217"/>
    </row>
    <row r="11" spans="1:17" ht="16.5" customHeight="1">
      <c r="A11" s="216"/>
      <c r="B11" s="137"/>
      <c r="C11" s="696" t="s">
        <v>360</v>
      </c>
      <c r="D11" s="797">
        <v>6078.8</v>
      </c>
      <c r="E11" s="949"/>
      <c r="F11" s="601">
        <f>ROUND(D11,0)/ROUND($D$8,0)</f>
        <v>0.34616479699333752</v>
      </c>
      <c r="G11" s="137"/>
      <c r="H11" s="688" t="s">
        <v>130</v>
      </c>
      <c r="I11" s="797">
        <v>779.8</v>
      </c>
      <c r="J11" s="390"/>
      <c r="K11" s="601">
        <f>ROUND(I11,0)/ROUND($I$8,0)</f>
        <v>4.4416604976937529E-2</v>
      </c>
      <c r="L11" s="605"/>
      <c r="M11" s="688" t="s">
        <v>133</v>
      </c>
      <c r="N11" s="1137">
        <v>32.9</v>
      </c>
      <c r="O11" s="1044"/>
      <c r="P11" s="601">
        <f>ROUND(N11,0)/ROUND($N$8,0)</f>
        <v>6.3718864645684499E-3</v>
      </c>
      <c r="Q11" s="217"/>
    </row>
    <row r="12" spans="1:17" ht="16.5" customHeight="1">
      <c r="A12" s="216"/>
      <c r="B12" s="137"/>
      <c r="C12" s="688" t="s">
        <v>123</v>
      </c>
      <c r="D12" s="797">
        <v>44.2</v>
      </c>
      <c r="E12" s="949"/>
      <c r="F12" s="601">
        <f t="shared" si="0"/>
        <v>2.5055520756221174E-3</v>
      </c>
      <c r="G12" s="137"/>
      <c r="H12" s="696"/>
      <c r="I12" s="606"/>
      <c r="J12" s="606"/>
      <c r="K12" s="607"/>
      <c r="L12" s="608"/>
      <c r="M12" s="688" t="s">
        <v>134</v>
      </c>
      <c r="N12" s="1137">
        <v>1826.1</v>
      </c>
      <c r="O12" s="600"/>
      <c r="P12" s="601">
        <f>ROUND(N12,0)/ROUND($N$8,0)</f>
        <v>0.3525777177061209</v>
      </c>
      <c r="Q12" s="217"/>
    </row>
    <row r="13" spans="1:17" ht="16.5" customHeight="1">
      <c r="A13" s="216"/>
      <c r="B13" s="137"/>
      <c r="C13" s="688" t="s">
        <v>124</v>
      </c>
      <c r="D13" s="797">
        <v>3788.4</v>
      </c>
      <c r="E13" s="949"/>
      <c r="F13" s="601">
        <f t="shared" si="0"/>
        <v>0.21570525596492227</v>
      </c>
      <c r="G13" s="137"/>
      <c r="H13" s="696"/>
      <c r="I13" s="606"/>
      <c r="J13" s="606"/>
      <c r="K13" s="607"/>
      <c r="L13" s="605"/>
      <c r="M13" s="698"/>
      <c r="N13" s="607"/>
      <c r="O13" s="607"/>
      <c r="P13" s="609"/>
      <c r="Q13" s="217"/>
    </row>
    <row r="14" spans="1:17" ht="16.5" customHeight="1">
      <c r="A14" s="216"/>
      <c r="B14" s="137"/>
      <c r="C14" s="688" t="s">
        <v>125</v>
      </c>
      <c r="D14" s="797">
        <v>4079.6</v>
      </c>
      <c r="E14" s="953"/>
      <c r="F14" s="601">
        <f t="shared" si="0"/>
        <v>0.23233301064859632</v>
      </c>
      <c r="G14" s="137"/>
      <c r="H14" s="696"/>
      <c r="I14" s="607"/>
      <c r="J14" s="607"/>
      <c r="K14" s="607"/>
      <c r="L14" s="605"/>
      <c r="M14" s="699"/>
      <c r="N14" s="610"/>
      <c r="O14" s="610"/>
      <c r="P14" s="610"/>
    </row>
    <row r="15" spans="1:17" ht="16.5" customHeight="1" thickBot="1">
      <c r="A15" s="216"/>
      <c r="B15" s="137"/>
      <c r="C15" s="697"/>
      <c r="D15" s="602"/>
      <c r="E15" s="602"/>
      <c r="F15" s="603"/>
      <c r="G15" s="137"/>
      <c r="H15" s="697"/>
      <c r="I15" s="611"/>
      <c r="J15" s="611"/>
      <c r="K15" s="611"/>
      <c r="L15" s="605"/>
      <c r="M15" s="700"/>
      <c r="N15" s="611"/>
      <c r="O15" s="611"/>
      <c r="P15" s="611"/>
    </row>
    <row r="16" spans="1:17" ht="16.5" customHeight="1">
      <c r="A16" s="216"/>
      <c r="B16" s="137"/>
      <c r="F16" s="154"/>
      <c r="K16" s="154"/>
      <c r="P16" s="154"/>
    </row>
    <row r="17" spans="1:18" ht="16.5" customHeight="1">
      <c r="A17" s="216"/>
      <c r="B17" s="137"/>
    </row>
    <row r="18" spans="1:18" ht="16.5" customHeight="1">
      <c r="A18" s="216"/>
      <c r="B18" s="137"/>
      <c r="C18" s="22" t="s">
        <v>411</v>
      </c>
      <c r="D18" s="137"/>
      <c r="E18" s="137"/>
      <c r="F18" s="137"/>
      <c r="G18" s="137"/>
      <c r="H18" s="137"/>
      <c r="I18" s="221"/>
      <c r="J18" s="221"/>
      <c r="K18" s="221"/>
      <c r="L18" s="221"/>
      <c r="M18" s="221"/>
      <c r="N18" s="221"/>
      <c r="O18" s="221"/>
      <c r="P18" s="221"/>
    </row>
    <row r="19" spans="1:18" ht="16.5" customHeight="1">
      <c r="A19" s="216"/>
      <c r="B19" s="137"/>
      <c r="H19" s="137"/>
      <c r="I19" s="222"/>
      <c r="J19" s="222"/>
      <c r="K19" s="221"/>
      <c r="L19" s="221"/>
      <c r="M19" s="223"/>
      <c r="N19" s="224"/>
      <c r="O19" s="224"/>
      <c r="P19" s="225"/>
    </row>
    <row r="20" spans="1:18" ht="16.5" customHeight="1">
      <c r="A20" s="216"/>
      <c r="B20" s="137"/>
      <c r="C20" s="494" t="s">
        <v>116</v>
      </c>
      <c r="D20" s="43"/>
      <c r="E20" s="43"/>
      <c r="F20" s="43"/>
      <c r="G20" s="218"/>
      <c r="H20" s="495" t="s">
        <v>117</v>
      </c>
      <c r="I20" s="219"/>
      <c r="J20" s="219"/>
      <c r="K20" s="219"/>
      <c r="L20" s="219"/>
      <c r="M20" s="495" t="s">
        <v>118</v>
      </c>
      <c r="N20" s="220"/>
    </row>
    <row r="21" spans="1:18" ht="16.5" customHeight="1">
      <c r="A21" s="216"/>
      <c r="B21" s="137"/>
      <c r="C21" s="447"/>
      <c r="D21" s="43"/>
      <c r="E21" s="43"/>
      <c r="F21" s="43"/>
      <c r="G21" s="218"/>
      <c r="H21" s="239"/>
      <c r="I21" s="219"/>
      <c r="J21" s="219"/>
      <c r="K21" s="219"/>
      <c r="L21" s="219"/>
      <c r="M21" s="239"/>
      <c r="N21" s="220"/>
    </row>
    <row r="22" spans="1:18" ht="16.5" customHeight="1">
      <c r="A22" s="216"/>
      <c r="B22" s="137"/>
      <c r="C22" s="144" t="s">
        <v>119</v>
      </c>
      <c r="D22" s="1322" t="str">
        <f>D7</f>
        <v>1Q17</v>
      </c>
      <c r="E22" s="1322"/>
      <c r="F22" s="1322"/>
      <c r="G22" s="137"/>
      <c r="H22" s="144" t="s">
        <v>126</v>
      </c>
      <c r="I22" s="1322" t="str">
        <f>D7</f>
        <v>1Q17</v>
      </c>
      <c r="J22" s="1322"/>
      <c r="K22" s="1322"/>
      <c r="L22" s="221"/>
      <c r="M22" s="144" t="s">
        <v>126</v>
      </c>
      <c r="N22" s="1322" t="str">
        <f>D7</f>
        <v>1Q17</v>
      </c>
      <c r="O22" s="1322"/>
      <c r="P22" s="1322"/>
    </row>
    <row r="23" spans="1:18" ht="16.5" customHeight="1">
      <c r="A23" s="216"/>
      <c r="B23" s="137"/>
      <c r="C23" s="695" t="s">
        <v>120</v>
      </c>
      <c r="D23" s="604">
        <f>SUM(D24:D30)-D26</f>
        <v>68046.899999999994</v>
      </c>
      <c r="E23" s="953"/>
      <c r="F23" s="1042">
        <f>D23/$D$23</f>
        <v>1</v>
      </c>
      <c r="G23" s="387"/>
      <c r="H23" s="695" t="s">
        <v>127</v>
      </c>
      <c r="I23" s="604">
        <f>SUM(I24:I26)</f>
        <v>68046.900000000009</v>
      </c>
      <c r="J23" s="388"/>
      <c r="K23" s="1042">
        <f>I23/$I$23</f>
        <v>1</v>
      </c>
      <c r="L23" s="605"/>
      <c r="M23" s="695" t="s">
        <v>127</v>
      </c>
      <c r="N23" s="604">
        <f>SUM(N24:N29)</f>
        <v>47838.200000000004</v>
      </c>
      <c r="O23" s="600"/>
      <c r="P23" s="1042">
        <f>N23/$N$23</f>
        <v>1</v>
      </c>
    </row>
    <row r="24" spans="1:18" ht="16.5" customHeight="1">
      <c r="A24" s="216"/>
      <c r="B24" s="137"/>
      <c r="C24" s="688" t="s">
        <v>121</v>
      </c>
      <c r="D24" s="1191">
        <v>0</v>
      </c>
      <c r="E24" s="949"/>
      <c r="F24" s="601">
        <f t="shared" ref="F24:F29" si="1">ROUND(D24,0)/ROUND($D$23,0)</f>
        <v>0</v>
      </c>
      <c r="G24" s="387"/>
      <c r="H24" s="688" t="s">
        <v>128</v>
      </c>
      <c r="I24" s="797">
        <v>47838.3</v>
      </c>
      <c r="J24" s="390"/>
      <c r="K24" s="601">
        <f>ROUND(I24,0)/ROUND($I$23,0)</f>
        <v>0.70301409320028807</v>
      </c>
      <c r="L24" s="605"/>
      <c r="M24" s="688" t="s">
        <v>131</v>
      </c>
      <c r="N24" s="797">
        <v>41254.400000000001</v>
      </c>
      <c r="O24" s="600"/>
      <c r="P24" s="601">
        <f>ROUND(N24,0)/ROUND($N$23,0)</f>
        <v>0.86236882812826621</v>
      </c>
    </row>
    <row r="25" spans="1:18" ht="16.5" customHeight="1">
      <c r="A25" s="216"/>
      <c r="B25" s="137"/>
      <c r="C25" s="688" t="s">
        <v>122</v>
      </c>
      <c r="D25" s="797">
        <v>46258.3</v>
      </c>
      <c r="E25" s="949"/>
      <c r="F25" s="601">
        <f t="shared" si="1"/>
        <v>0.67979484767881027</v>
      </c>
      <c r="G25" s="387"/>
      <c r="H25" s="688" t="s">
        <v>129</v>
      </c>
      <c r="I25" s="797">
        <v>11872.5</v>
      </c>
      <c r="J25" s="390"/>
      <c r="K25" s="601">
        <f>ROUND(I25,0)/ROUND($I$23,0)</f>
        <v>0.17448234308639618</v>
      </c>
      <c r="L25" s="605"/>
      <c r="M25" s="688" t="s">
        <v>132</v>
      </c>
      <c r="N25" s="797">
        <v>709</v>
      </c>
      <c r="O25" s="600"/>
      <c r="P25" s="601">
        <f>ROUND(N25,0)/ROUND($N$23,0)</f>
        <v>1.4820853714620176E-2</v>
      </c>
    </row>
    <row r="26" spans="1:18" ht="16.5" customHeight="1">
      <c r="A26" s="216"/>
      <c r="B26" s="137"/>
      <c r="C26" s="696" t="s">
        <v>360</v>
      </c>
      <c r="D26" s="797">
        <v>12612</v>
      </c>
      <c r="E26" s="949"/>
      <c r="F26" s="601">
        <f>ROUND(D26,0)/ROUND($D$23,0)</f>
        <v>0.18534248387144181</v>
      </c>
      <c r="G26" s="387"/>
      <c r="H26" s="688" t="s">
        <v>130</v>
      </c>
      <c r="I26" s="797">
        <v>8336.1</v>
      </c>
      <c r="J26" s="390"/>
      <c r="K26" s="601">
        <f>ROUND(I26,0)/ROUND($I$23,0)</f>
        <v>0.12250356371331579</v>
      </c>
      <c r="L26" s="605"/>
      <c r="M26" s="688" t="s">
        <v>133</v>
      </c>
      <c r="N26" s="797">
        <v>30.4</v>
      </c>
      <c r="O26" s="390"/>
      <c r="P26" s="601">
        <f>ROUND(N26,0)/ROUND($N$23,0)</f>
        <v>6.2711651824909071E-4</v>
      </c>
    </row>
    <row r="27" spans="1:18" ht="16.5" customHeight="1">
      <c r="A27" s="216"/>
      <c r="B27" s="137"/>
      <c r="C27" s="688" t="s">
        <v>123</v>
      </c>
      <c r="D27" s="797">
        <v>105.8</v>
      </c>
      <c r="E27" s="949"/>
      <c r="F27" s="601">
        <f>ROUND(D27,0)/ROUND($D$23,0)</f>
        <v>1.5577468514409159E-3</v>
      </c>
      <c r="G27" s="387"/>
      <c r="H27" s="696"/>
      <c r="I27" s="612"/>
      <c r="J27" s="612"/>
      <c r="K27" s="600"/>
      <c r="L27" s="608"/>
      <c r="M27" s="688" t="s">
        <v>134</v>
      </c>
      <c r="N27" s="797">
        <v>5844.4</v>
      </c>
      <c r="O27" s="1044"/>
      <c r="P27" s="601">
        <f>ROUND(N27,0)/ROUND($N$23,0)</f>
        <v>0.12216229775492286</v>
      </c>
    </row>
    <row r="28" spans="1:18" ht="16.5" customHeight="1">
      <c r="A28" s="216"/>
      <c r="B28" s="137"/>
      <c r="C28" s="688" t="s">
        <v>124</v>
      </c>
      <c r="D28" s="797">
        <v>13622.4</v>
      </c>
      <c r="E28" s="949"/>
      <c r="F28" s="601">
        <f t="shared" si="1"/>
        <v>0.20018516613517129</v>
      </c>
      <c r="G28" s="387"/>
      <c r="H28" s="696"/>
      <c r="I28" s="612"/>
      <c r="J28" s="612"/>
      <c r="K28" s="600"/>
      <c r="L28" s="605"/>
      <c r="M28" s="698"/>
      <c r="N28" s="606"/>
      <c r="O28" s="606"/>
      <c r="P28" s="607"/>
    </row>
    <row r="29" spans="1:18" ht="16.5" customHeight="1">
      <c r="A29" s="216"/>
      <c r="B29" s="137"/>
      <c r="C29" s="688" t="s">
        <v>125</v>
      </c>
      <c r="D29" s="797">
        <v>8060.4</v>
      </c>
      <c r="E29" s="953"/>
      <c r="F29" s="601">
        <f t="shared" si="1"/>
        <v>0.11844754360956397</v>
      </c>
      <c r="G29" s="387"/>
      <c r="H29" s="696"/>
      <c r="I29" s="607"/>
      <c r="J29" s="607"/>
      <c r="K29" s="607"/>
      <c r="L29" s="605"/>
      <c r="M29" s="696"/>
      <c r="N29" s="600"/>
      <c r="O29" s="600"/>
      <c r="P29" s="613"/>
      <c r="R29" s="226"/>
    </row>
    <row r="30" spans="1:18" ht="16.5" customHeight="1" thickBot="1">
      <c r="A30" s="216"/>
      <c r="B30" s="126"/>
      <c r="C30" s="697"/>
      <c r="D30" s="602"/>
      <c r="E30" s="602"/>
      <c r="F30" s="603"/>
      <c r="G30" s="387"/>
      <c r="H30" s="697"/>
      <c r="I30" s="611"/>
      <c r="J30" s="611"/>
      <c r="K30" s="611"/>
      <c r="L30" s="605"/>
      <c r="M30" s="700"/>
      <c r="N30" s="611"/>
      <c r="O30" s="611"/>
      <c r="P30" s="611"/>
    </row>
    <row r="31" spans="1:18" ht="16.899999999999999" customHeight="1">
      <c r="A31" s="216"/>
      <c r="B31" s="137"/>
      <c r="D31" s="122"/>
      <c r="E31" s="122"/>
      <c r="F31" s="153"/>
      <c r="G31" s="122"/>
      <c r="H31" s="122"/>
      <c r="I31" s="215"/>
      <c r="J31" s="215"/>
      <c r="K31" s="153"/>
      <c r="L31" s="215"/>
      <c r="M31" s="215"/>
      <c r="N31" s="215"/>
      <c r="O31" s="215"/>
      <c r="P31" s="153"/>
    </row>
    <row r="32" spans="1:18" ht="18" customHeight="1">
      <c r="A32" s="216"/>
      <c r="B32" s="137"/>
      <c r="C32" s="227" t="s">
        <v>135</v>
      </c>
      <c r="D32" s="122"/>
      <c r="E32" s="122"/>
      <c r="F32" s="122"/>
      <c r="G32" s="122"/>
      <c r="H32" s="122"/>
      <c r="I32" s="215"/>
      <c r="J32" s="215"/>
      <c r="K32" s="215"/>
      <c r="L32" s="215"/>
      <c r="M32" s="215"/>
      <c r="N32" s="215"/>
      <c r="O32" s="215"/>
      <c r="P32" s="215"/>
    </row>
    <row r="33" spans="1:16" ht="15" customHeight="1">
      <c r="A33" s="142"/>
      <c r="B33" s="137"/>
      <c r="C33" s="107" t="s">
        <v>136</v>
      </c>
      <c r="D33" s="122"/>
      <c r="E33" s="122"/>
      <c r="F33" s="122"/>
      <c r="G33" s="122"/>
      <c r="H33" s="122"/>
      <c r="I33" s="215"/>
      <c r="J33" s="215"/>
      <c r="K33" s="215"/>
      <c r="L33" s="215"/>
      <c r="M33" s="215"/>
      <c r="N33" s="215"/>
      <c r="O33" s="215"/>
      <c r="P33" s="215"/>
    </row>
    <row r="34" spans="1:16" ht="15" customHeight="1">
      <c r="A34" s="228"/>
      <c r="B34" s="137"/>
      <c r="C34" s="811" t="s">
        <v>137</v>
      </c>
      <c r="D34" s="229"/>
      <c r="E34" s="229"/>
      <c r="F34" s="229"/>
      <c r="G34" s="229"/>
      <c r="H34" s="229"/>
      <c r="I34" s="230"/>
      <c r="J34" s="230"/>
      <c r="K34" s="230"/>
      <c r="L34" s="230"/>
    </row>
    <row r="35" spans="1:16" ht="18" customHeight="1">
      <c r="A35" s="228"/>
    </row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62" spans="9:16" s="166" customFormat="1">
      <c r="I62" s="231"/>
      <c r="J62" s="231"/>
      <c r="K62" s="231"/>
      <c r="L62" s="231"/>
      <c r="M62" s="231"/>
      <c r="N62" s="231"/>
      <c r="O62" s="231"/>
      <c r="P62" s="231"/>
    </row>
    <row r="68" spans="9:16" s="166" customFormat="1">
      <c r="I68" s="231"/>
      <c r="J68" s="231"/>
      <c r="K68" s="231"/>
      <c r="L68" s="231"/>
      <c r="M68" s="231"/>
      <c r="N68" s="231"/>
      <c r="O68" s="231"/>
      <c r="P68" s="231"/>
    </row>
    <row r="69" spans="9:16" s="166" customFormat="1">
      <c r="I69" s="231"/>
      <c r="J69" s="231"/>
      <c r="K69" s="231"/>
      <c r="L69" s="231"/>
      <c r="M69" s="231"/>
      <c r="N69" s="231"/>
      <c r="O69" s="231"/>
      <c r="P69" s="231"/>
    </row>
    <row r="85" spans="9:16" s="166" customFormat="1">
      <c r="I85" s="231"/>
      <c r="J85" s="231"/>
      <c r="K85" s="231"/>
      <c r="L85" s="231"/>
      <c r="M85" s="231"/>
      <c r="N85" s="231"/>
      <c r="O85" s="231"/>
      <c r="P85" s="231"/>
    </row>
    <row r="90" spans="9:16" s="166" customFormat="1">
      <c r="I90" s="231"/>
      <c r="J90" s="231"/>
      <c r="K90" s="231"/>
      <c r="L90" s="231"/>
      <c r="M90" s="231"/>
      <c r="N90" s="231"/>
      <c r="O90" s="231"/>
      <c r="P90" s="231"/>
    </row>
    <row r="91" spans="9:16" s="166" customFormat="1">
      <c r="I91" s="231"/>
      <c r="J91" s="231"/>
      <c r="K91" s="231"/>
      <c r="L91" s="231"/>
      <c r="M91" s="231"/>
      <c r="N91" s="231"/>
      <c r="O91" s="231"/>
      <c r="P91" s="231"/>
    </row>
  </sheetData>
  <mergeCells count="6">
    <mergeCell ref="D22:F22"/>
    <mergeCell ref="I22:K22"/>
    <mergeCell ref="N22:P22"/>
    <mergeCell ref="D7:F7"/>
    <mergeCell ref="I7:K7"/>
    <mergeCell ref="N7:P7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88" orientation="landscape" useFirstPageNumber="1" verticalDpi="0" r:id="rId1"/>
  <headerFooter>
    <oddHeader>&amp;R&amp;"Trebuchet MS,보통"&amp;12
www.wooribank.com</oddHeader>
    <oddFooter xml:space="preserve">&amp;R&amp;"Trebuchet MS,보통"Page  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이름이 지정된 범위</vt:lpstr>
      </vt:variant>
      <vt:variant>
        <vt:i4>24</vt:i4>
      </vt:variant>
    </vt:vector>
  </HeadingPairs>
  <TitlesOfParts>
    <vt:vector size="46" baseType="lpstr">
      <vt:lpstr>Cover</vt:lpstr>
      <vt:lpstr>ToC</vt:lpstr>
      <vt:lpstr>Group_BS</vt:lpstr>
      <vt:lpstr>Group_IS</vt:lpstr>
      <vt:lpstr>Group IS by Subsidiary</vt:lpstr>
      <vt:lpstr>Deposit Breakdown</vt:lpstr>
      <vt:lpstr>Loan Breakdown(Total Credit)</vt:lpstr>
      <vt:lpstr>Loan Breakdown(Loans in KRW)</vt:lpstr>
      <vt:lpstr>Loan Breakdown-1</vt:lpstr>
      <vt:lpstr>Loan Breakdown-2</vt:lpstr>
      <vt:lpstr>Loan Maturity2601</vt:lpstr>
      <vt:lpstr>NIM(Bank+Card)</vt:lpstr>
      <vt:lpstr>NIM(Bank)</vt:lpstr>
      <vt:lpstr>Asset Quality-Group</vt:lpstr>
      <vt:lpstr>LLP</vt:lpstr>
      <vt:lpstr>Asset Quality by Borrower</vt:lpstr>
      <vt:lpstr>Delinquency by Borrower</vt:lpstr>
      <vt:lpstr>Delinquency by Industry(Corp)</vt:lpstr>
      <vt:lpstr>Delinquency by Industry(SME)</vt:lpstr>
      <vt:lpstr>BIS Ratio</vt:lpstr>
      <vt:lpstr>Woori Card</vt:lpstr>
      <vt:lpstr>Card_AQ</vt:lpstr>
      <vt:lpstr>'Asset Quality by Borrower'!Print_Area</vt:lpstr>
      <vt:lpstr>'Asset Quality-Group'!Print_Area</vt:lpstr>
      <vt:lpstr>'BIS Ratio'!Print_Area</vt:lpstr>
      <vt:lpstr>Card_AQ!Print_Area</vt:lpstr>
      <vt:lpstr>Cover!Print_Area</vt:lpstr>
      <vt:lpstr>'Delinquency by Borrower'!Print_Area</vt:lpstr>
      <vt:lpstr>'Delinquency by Industry(Corp)'!Print_Area</vt:lpstr>
      <vt:lpstr>'Delinquency by Industry(SME)'!Print_Area</vt:lpstr>
      <vt:lpstr>'Deposit Breakdown'!Print_Area</vt:lpstr>
      <vt:lpstr>'Group IS by Subsidiary'!Print_Area</vt:lpstr>
      <vt:lpstr>Group_BS!Print_Area</vt:lpstr>
      <vt:lpstr>Group_IS!Print_Area</vt:lpstr>
      <vt:lpstr>LLP!Print_Area</vt:lpstr>
      <vt:lpstr>'Loan Breakdown(Loans in KRW)'!Print_Area</vt:lpstr>
      <vt:lpstr>'Loan Breakdown(Total Credit)'!Print_Area</vt:lpstr>
      <vt:lpstr>'Loan Breakdown-1'!Print_Area</vt:lpstr>
      <vt:lpstr>'Loan Breakdown-2'!Print_Area</vt:lpstr>
      <vt:lpstr>'Loan Maturity2601'!Print_Area</vt:lpstr>
      <vt:lpstr>'NIM(Bank)'!Print_Area</vt:lpstr>
      <vt:lpstr>'NIM(Bank+Card)'!Print_Area</vt:lpstr>
      <vt:lpstr>ToC!Print_Area</vt:lpstr>
      <vt:lpstr>'Woori Card'!Print_Area</vt:lpstr>
      <vt:lpstr>'BIS Ratio'!Print_Titles</vt:lpstr>
      <vt:lpstr>'Woori Card'!Print_Titles</vt:lpstr>
    </vt:vector>
  </TitlesOfParts>
  <Company>woori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woori</dc:creator>
  <cp:lastModifiedBy>woori</cp:lastModifiedBy>
  <cp:lastPrinted>2017-04-17T23:12:35Z</cp:lastPrinted>
  <dcterms:created xsi:type="dcterms:W3CDTF">2013-02-08T02:37:29Z</dcterms:created>
  <dcterms:modified xsi:type="dcterms:W3CDTF">2017-04-18T04:28:32Z</dcterms:modified>
</cp:coreProperties>
</file>