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90" yWindow="360" windowWidth="9600" windowHeight="11970" firstSheet="13" activeTab="13"/>
  </bookViews>
  <sheets>
    <sheet name="Cover" sheetId="2" r:id="rId1"/>
    <sheet name="ToC" sheetId="3" r:id="rId2"/>
    <sheet name="Group_BS" sheetId="4" r:id="rId3"/>
    <sheet name="Group_IS" sheetId="36" r:id="rId4"/>
    <sheet name="Group IS by Subsidiary" sheetId="37" r:id="rId5"/>
    <sheet name="Deposit Breakdown" sheetId="38" r:id="rId6"/>
    <sheet name="Loan Breakdown(Total Credit)" sheetId="9" r:id="rId7"/>
    <sheet name="Loan Breakdown(Loans in KRW)" sheetId="10" r:id="rId8"/>
    <sheet name="Loan Breakdown-1" sheetId="11" r:id="rId9"/>
    <sheet name="Loan Breakdown-2" sheetId="12" r:id="rId10"/>
    <sheet name="Loan Maturity2601" sheetId="13" r:id="rId11"/>
    <sheet name="NIM(Bank+Card)" sheetId="32" r:id="rId12"/>
    <sheet name="NIM(Bank)" sheetId="15" r:id="rId13"/>
    <sheet name="Asset Quality-Group" sheetId="16" r:id="rId14"/>
    <sheet name="LLP" sheetId="19" r:id="rId15"/>
    <sheet name="Asset Quality by Borrower" sheetId="17" r:id="rId16"/>
    <sheet name="Delinquency by Borrower" sheetId="20" r:id="rId17"/>
    <sheet name="Delinquency by Industry(Corp)" sheetId="21" r:id="rId18"/>
    <sheet name="Delinquency by Industry(SME)" sheetId="22" r:id="rId19"/>
    <sheet name="BIS Ratio" sheetId="24" r:id="rId20"/>
    <sheet name="Woori Card" sheetId="29" r:id="rId21"/>
    <sheet name="Card_AQ" sheetId="27" r:id="rId22"/>
  </sheets>
  <definedNames>
    <definedName name="_xlnm.Print_Area" localSheetId="15">'Asset Quality by Borrower'!$A$1:$S$26</definedName>
    <definedName name="_xlnm.Print_Area" localSheetId="13">'Asset Quality-Group'!$A$1:$X$27</definedName>
    <definedName name="_xlnm.Print_Area" localSheetId="19">'BIS Ratio'!$A$1:$J$32</definedName>
    <definedName name="_xlnm.Print_Area" localSheetId="21">Card_AQ!$A$1:$R$32</definedName>
    <definedName name="_xlnm.Print_Area" localSheetId="0">Cover!$A$1:$O$42</definedName>
    <definedName name="_xlnm.Print_Area" localSheetId="16">'Delinquency by Borrower'!$A$1:$X$18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Subsidiary'!$A$1:$G$31</definedName>
    <definedName name="_xlnm.Print_Area" localSheetId="2">Group_BS!$A$1:$R$33</definedName>
    <definedName name="_xlnm.Print_Area" localSheetId="3">Group_IS!$A$1:$L$29</definedName>
    <definedName name="_xlnm.Print_Area" localSheetId="14">LLP!$A$1:$P$24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Maturity2601'!$A$1:$T$39</definedName>
    <definedName name="_xlnm.Print_Area" localSheetId="12">'NIM(Bank)'!$A$1:$X$44</definedName>
    <definedName name="_xlnm.Print_Area" localSheetId="11">'NIM(Bank+Card)'!$A$1:$M$31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  <fileRecoveryPr autoRecover="0"/>
</workbook>
</file>

<file path=xl/calcChain.xml><?xml version="1.0" encoding="utf-8"?>
<calcChain xmlns="http://schemas.openxmlformats.org/spreadsheetml/2006/main">
  <c r="E20" i="16" l="1"/>
  <c r="O19" i="16" l="1"/>
  <c r="M19" i="16"/>
  <c r="K19" i="16"/>
  <c r="I19" i="16"/>
  <c r="G19" i="16"/>
  <c r="E19" i="16"/>
  <c r="R15" i="13" l="1"/>
  <c r="I24" i="12" l="1"/>
  <c r="V30" i="22"/>
  <c r="F25" i="27" l="1"/>
  <c r="G7" i="24"/>
  <c r="X40" i="15"/>
  <c r="X41" i="15"/>
  <c r="X39" i="15"/>
  <c r="X19" i="15"/>
  <c r="X20" i="15"/>
  <c r="X21" i="15"/>
  <c r="X27" i="15"/>
  <c r="X28" i="15"/>
  <c r="X29" i="15"/>
  <c r="X30" i="15"/>
  <c r="X31" i="15"/>
  <c r="X32" i="15"/>
  <c r="X33" i="15"/>
  <c r="X34" i="15"/>
  <c r="X35" i="15"/>
  <c r="X26" i="15"/>
  <c r="L26" i="15"/>
  <c r="X7" i="15"/>
  <c r="X8" i="15"/>
  <c r="X9" i="15"/>
  <c r="X10" i="15"/>
  <c r="X11" i="15"/>
  <c r="X12" i="15"/>
  <c r="X13" i="15"/>
  <c r="X14" i="15"/>
  <c r="X15" i="15"/>
  <c r="X6" i="15"/>
  <c r="I8" i="11"/>
  <c r="G22" i="37"/>
  <c r="H19" i="4"/>
  <c r="G19" i="4"/>
  <c r="G13" i="24" l="1"/>
  <c r="G16" i="24"/>
  <c r="G28" i="37" l="1"/>
  <c r="F28" i="37"/>
  <c r="E28" i="37"/>
  <c r="G27" i="37"/>
  <c r="F27" i="37"/>
  <c r="E27" i="37"/>
  <c r="G20" i="37"/>
  <c r="F22" i="37"/>
  <c r="F20" i="37" s="1"/>
  <c r="E22" i="37"/>
  <c r="E20" i="37" s="1"/>
  <c r="K26" i="36"/>
  <c r="L25" i="36"/>
  <c r="L22" i="36"/>
  <c r="L12" i="36"/>
  <c r="L9" i="36"/>
  <c r="L8" i="36"/>
  <c r="K22" i="36"/>
  <c r="K12" i="36"/>
  <c r="K9" i="36"/>
  <c r="K8" i="36" l="1"/>
  <c r="P17" i="4"/>
  <c r="P24" i="4" l="1"/>
  <c r="H22" i="4"/>
  <c r="I23" i="11" l="1"/>
  <c r="AA25" i="21" l="1"/>
  <c r="P12" i="17" l="1"/>
  <c r="P11" i="17"/>
  <c r="P10" i="17"/>
  <c r="P9" i="17"/>
  <c r="P8" i="17"/>
  <c r="Q12" i="17"/>
  <c r="Q11" i="17"/>
  <c r="Q10" i="17"/>
  <c r="Q9" i="17"/>
  <c r="Q8" i="17"/>
  <c r="N13" i="9" l="1"/>
  <c r="N20" i="38"/>
  <c r="N21" i="38"/>
  <c r="N22" i="38"/>
  <c r="N23" i="38"/>
  <c r="N24" i="38"/>
  <c r="N19" i="38"/>
  <c r="J20" i="38"/>
  <c r="J21" i="38"/>
  <c r="J22" i="38"/>
  <c r="J23" i="38"/>
  <c r="J24" i="38"/>
  <c r="J19" i="38"/>
  <c r="F20" i="38"/>
  <c r="F21" i="38"/>
  <c r="F22" i="38"/>
  <c r="F23" i="38"/>
  <c r="F24" i="38"/>
  <c r="F19" i="38"/>
  <c r="N9" i="38"/>
  <c r="J10" i="38"/>
  <c r="J11" i="38"/>
  <c r="J12" i="38"/>
  <c r="J13" i="38"/>
  <c r="J14" i="38"/>
  <c r="J9" i="38"/>
  <c r="N10" i="38"/>
  <c r="N11" i="38"/>
  <c r="N12" i="38"/>
  <c r="N13" i="38"/>
  <c r="N14" i="38"/>
  <c r="U26" i="22"/>
  <c r="V26" i="22"/>
  <c r="P11" i="19"/>
  <c r="P21" i="19" s="1"/>
  <c r="S15" i="16"/>
  <c r="T15" i="16" s="1"/>
  <c r="S14" i="16"/>
  <c r="T14" i="16" s="1"/>
  <c r="S13" i="16"/>
  <c r="T10" i="16" s="1"/>
  <c r="T12" i="16"/>
  <c r="T8" i="16"/>
  <c r="P15" i="16"/>
  <c r="Q15" i="16" s="1"/>
  <c r="P14" i="16"/>
  <c r="Q14" i="16" s="1"/>
  <c r="P13" i="16"/>
  <c r="Q10" i="16" s="1"/>
  <c r="N15" i="16"/>
  <c r="O15" i="16" s="1"/>
  <c r="N14" i="16"/>
  <c r="O14" i="16" s="1"/>
  <c r="N13" i="16"/>
  <c r="O10" i="16" s="1"/>
  <c r="O11" i="16"/>
  <c r="O9" i="16"/>
  <c r="O8" i="16"/>
  <c r="L15" i="16"/>
  <c r="L14" i="16"/>
  <c r="L13" i="16"/>
  <c r="M10" i="16" s="1"/>
  <c r="J15" i="16"/>
  <c r="K15" i="16" s="1"/>
  <c r="J14" i="16"/>
  <c r="K14" i="16" s="1"/>
  <c r="J13" i="16"/>
  <c r="K10" i="16" s="1"/>
  <c r="H15" i="16"/>
  <c r="H14" i="16"/>
  <c r="I14" i="16" s="1"/>
  <c r="H13" i="16"/>
  <c r="I10" i="16" s="1"/>
  <c r="F15" i="16"/>
  <c r="F14" i="16"/>
  <c r="F13" i="16"/>
  <c r="G10" i="16" s="1"/>
  <c r="D15" i="16"/>
  <c r="D14" i="16"/>
  <c r="D13" i="16"/>
  <c r="E10" i="16" s="1"/>
  <c r="I14" i="38"/>
  <c r="L14" i="38"/>
  <c r="M14" i="38"/>
  <c r="E24" i="38"/>
  <c r="D24" i="38"/>
  <c r="H24" i="38"/>
  <c r="I24" i="38"/>
  <c r="L24" i="38"/>
  <c r="M24" i="38"/>
  <c r="E14" i="38"/>
  <c r="F13" i="38"/>
  <c r="F12" i="38"/>
  <c r="F11" i="38"/>
  <c r="F10" i="38"/>
  <c r="F9" i="38"/>
  <c r="E9" i="16" l="1"/>
  <c r="G9" i="16"/>
  <c r="M11" i="16"/>
  <c r="T9" i="16"/>
  <c r="E14" i="16"/>
  <c r="I15" i="16"/>
  <c r="M14" i="16"/>
  <c r="G14" i="16"/>
  <c r="E15" i="16"/>
  <c r="G15" i="16"/>
  <c r="K9" i="16"/>
  <c r="M9" i="16"/>
  <c r="M15" i="16"/>
  <c r="O12" i="16"/>
  <c r="O13" i="16" s="1"/>
  <c r="Q9" i="16"/>
  <c r="F14" i="38"/>
  <c r="T11" i="16"/>
  <c r="T13" i="16" s="1"/>
  <c r="Q11" i="16"/>
  <c r="Q8" i="16"/>
  <c r="Q12" i="16"/>
  <c r="M8" i="16"/>
  <c r="M12" i="16"/>
  <c r="K11" i="16"/>
  <c r="K8" i="16"/>
  <c r="K12" i="16"/>
  <c r="I11" i="16"/>
  <c r="I9" i="16"/>
  <c r="I8" i="16"/>
  <c r="I12" i="16"/>
  <c r="G11" i="16"/>
  <c r="G8" i="16"/>
  <c r="G12" i="16"/>
  <c r="E11" i="16"/>
  <c r="E8" i="16"/>
  <c r="E12" i="16"/>
  <c r="K13" i="16" l="1"/>
  <c r="G13" i="16"/>
  <c r="Q13" i="16"/>
  <c r="M13" i="16"/>
  <c r="I13" i="16"/>
  <c r="E13" i="16"/>
  <c r="G14" i="37" l="1"/>
  <c r="F14" i="37"/>
  <c r="E14" i="37"/>
  <c r="G13" i="37"/>
  <c r="F13" i="37"/>
  <c r="E13" i="37"/>
  <c r="G8" i="37"/>
  <c r="F8" i="37"/>
  <c r="F6" i="37" s="1"/>
  <c r="E8" i="37"/>
  <c r="E6" i="37" s="1"/>
  <c r="G6" i="37"/>
  <c r="J22" i="36" l="1"/>
  <c r="J12" i="36"/>
  <c r="J9" i="36"/>
  <c r="J8" i="36" s="1"/>
  <c r="J25" i="36" s="1"/>
  <c r="I22" i="36"/>
  <c r="I12" i="36"/>
  <c r="I9" i="36"/>
  <c r="I8" i="36" s="1"/>
  <c r="I25" i="36" s="1"/>
  <c r="H25" i="36"/>
  <c r="E22" i="36"/>
  <c r="E12" i="36"/>
  <c r="E9" i="36"/>
  <c r="E8" i="36" s="1"/>
  <c r="E25" i="36" s="1"/>
  <c r="H8" i="36"/>
  <c r="O8" i="27" l="1"/>
  <c r="N8" i="27"/>
  <c r="M8" i="27"/>
  <c r="L8" i="27"/>
  <c r="K8" i="27"/>
  <c r="J8" i="27"/>
  <c r="I8" i="27"/>
  <c r="H8" i="27"/>
  <c r="G8" i="27"/>
  <c r="F8" i="27"/>
  <c r="E8" i="27"/>
  <c r="D8" i="27"/>
  <c r="D20" i="29"/>
  <c r="F27" i="24"/>
  <c r="E27" i="24"/>
  <c r="E26" i="24"/>
  <c r="G25" i="24"/>
  <c r="F25" i="24"/>
  <c r="E25" i="24"/>
  <c r="G21" i="24"/>
  <c r="G27" i="24" s="1"/>
  <c r="E21" i="24"/>
  <c r="D19" i="24"/>
  <c r="D16" i="24"/>
  <c r="F13" i="24"/>
  <c r="D13" i="24"/>
  <c r="D8" i="24" s="1"/>
  <c r="E8" i="24"/>
  <c r="G26" i="24"/>
  <c r="F7" i="24"/>
  <c r="F26" i="24" s="1"/>
  <c r="E7" i="24"/>
  <c r="S33" i="22"/>
  <c r="R33" i="22"/>
  <c r="P33" i="22"/>
  <c r="O33" i="22"/>
  <c r="M33" i="22"/>
  <c r="L33" i="22"/>
  <c r="K33" i="22"/>
  <c r="J33" i="22"/>
  <c r="I33" i="22"/>
  <c r="H33" i="22"/>
  <c r="G33" i="22"/>
  <c r="F33" i="22"/>
  <c r="Q32" i="22"/>
  <c r="Q28" i="22" s="1"/>
  <c r="N32" i="22"/>
  <c r="N33" i="22" s="1"/>
  <c r="K32" i="22"/>
  <c r="H32" i="22"/>
  <c r="E32" i="22"/>
  <c r="E33" i="22" s="1"/>
  <c r="S31" i="22"/>
  <c r="R31" i="22"/>
  <c r="P31" i="22"/>
  <c r="O31" i="22"/>
  <c r="M31" i="22"/>
  <c r="L31" i="22"/>
  <c r="K31" i="22"/>
  <c r="J31" i="22"/>
  <c r="I31" i="22"/>
  <c r="H31" i="22"/>
  <c r="G31" i="22"/>
  <c r="F31" i="22"/>
  <c r="Q30" i="22"/>
  <c r="Q31" i="22" s="1"/>
  <c r="N30" i="22"/>
  <c r="N31" i="22" s="1"/>
  <c r="K30" i="22"/>
  <c r="H30" i="22"/>
  <c r="H26" i="22" s="1"/>
  <c r="H27" i="22" s="1"/>
  <c r="E30" i="22"/>
  <c r="E31" i="22" s="1"/>
  <c r="P29" i="22"/>
  <c r="L29" i="22"/>
  <c r="S28" i="22"/>
  <c r="S29" i="22" s="1"/>
  <c r="R28" i="22"/>
  <c r="R29" i="22" s="1"/>
  <c r="P28" i="22"/>
  <c r="O28" i="22"/>
  <c r="O29" i="22" s="1"/>
  <c r="M28" i="22"/>
  <c r="L28" i="22"/>
  <c r="K28" i="22"/>
  <c r="K29" i="22" s="1"/>
  <c r="J28" i="22"/>
  <c r="J29" i="22" s="1"/>
  <c r="I28" i="22"/>
  <c r="G28" i="22"/>
  <c r="G29" i="22" s="1"/>
  <c r="F28" i="22"/>
  <c r="F29" i="22" s="1"/>
  <c r="S27" i="22"/>
  <c r="R27" i="22"/>
  <c r="O27" i="22"/>
  <c r="N27" i="22"/>
  <c r="J27" i="22"/>
  <c r="G27" i="22"/>
  <c r="F27" i="22"/>
  <c r="S26" i="22"/>
  <c r="R26" i="22"/>
  <c r="P26" i="22"/>
  <c r="P27" i="22" s="1"/>
  <c r="O26" i="22"/>
  <c r="N26" i="22"/>
  <c r="M26" i="22"/>
  <c r="M27" i="22" s="1"/>
  <c r="L26" i="22"/>
  <c r="L27" i="22" s="1"/>
  <c r="J26" i="22"/>
  <c r="I26" i="22"/>
  <c r="I27" i="22" s="1"/>
  <c r="G26" i="22"/>
  <c r="F26" i="22"/>
  <c r="S25" i="22"/>
  <c r="R25" i="22"/>
  <c r="P25" i="22"/>
  <c r="O25" i="22"/>
  <c r="M25" i="22"/>
  <c r="L25" i="22"/>
  <c r="K25" i="22"/>
  <c r="J25" i="22"/>
  <c r="I25" i="22"/>
  <c r="H25" i="22"/>
  <c r="G25" i="22"/>
  <c r="F25" i="22"/>
  <c r="Q24" i="22"/>
  <c r="Q25" i="22" s="1"/>
  <c r="N24" i="22"/>
  <c r="N25" i="22" s="1"/>
  <c r="K24" i="22"/>
  <c r="H24" i="22"/>
  <c r="E24" i="22"/>
  <c r="E25" i="22" s="1"/>
  <c r="S23" i="22"/>
  <c r="R23" i="22"/>
  <c r="P23" i="22"/>
  <c r="O23" i="22"/>
  <c r="M23" i="22"/>
  <c r="L23" i="22"/>
  <c r="K23" i="22"/>
  <c r="J23" i="22"/>
  <c r="I23" i="22"/>
  <c r="H23" i="22"/>
  <c r="G23" i="22"/>
  <c r="F23" i="22"/>
  <c r="Q22" i="22"/>
  <c r="Q23" i="22" s="1"/>
  <c r="N22" i="22"/>
  <c r="N23" i="22" s="1"/>
  <c r="K22" i="22"/>
  <c r="H22" i="22"/>
  <c r="E22" i="22"/>
  <c r="E23" i="22" s="1"/>
  <c r="S21" i="22"/>
  <c r="R21" i="22"/>
  <c r="P21" i="22"/>
  <c r="O21" i="22"/>
  <c r="M21" i="22"/>
  <c r="L21" i="22"/>
  <c r="K21" i="22"/>
  <c r="J21" i="22"/>
  <c r="I21" i="22"/>
  <c r="H21" i="22"/>
  <c r="G21" i="22"/>
  <c r="F21" i="22"/>
  <c r="Q20" i="22"/>
  <c r="Q21" i="22" s="1"/>
  <c r="N20" i="22"/>
  <c r="N21" i="22" s="1"/>
  <c r="K20" i="22"/>
  <c r="H20" i="22"/>
  <c r="E20" i="22"/>
  <c r="E21" i="22" s="1"/>
  <c r="S19" i="22"/>
  <c r="R19" i="22"/>
  <c r="P19" i="22"/>
  <c r="O19" i="22"/>
  <c r="M19" i="22"/>
  <c r="L19" i="22"/>
  <c r="K19" i="22"/>
  <c r="J19" i="22"/>
  <c r="I19" i="22"/>
  <c r="H19" i="22"/>
  <c r="G19" i="22"/>
  <c r="F19" i="22"/>
  <c r="Q18" i="22"/>
  <c r="Q19" i="22" s="1"/>
  <c r="N18" i="22"/>
  <c r="N19" i="22" s="1"/>
  <c r="K18" i="22"/>
  <c r="H18" i="22"/>
  <c r="E18" i="22"/>
  <c r="E19" i="22" s="1"/>
  <c r="S17" i="22"/>
  <c r="R17" i="22"/>
  <c r="P17" i="22"/>
  <c r="O17" i="22"/>
  <c r="M17" i="22"/>
  <c r="L17" i="22"/>
  <c r="K17" i="22"/>
  <c r="J17" i="22"/>
  <c r="I17" i="22"/>
  <c r="H17" i="22"/>
  <c r="G17" i="22"/>
  <c r="F17" i="22"/>
  <c r="Q16" i="22"/>
  <c r="Q17" i="22" s="1"/>
  <c r="N16" i="22"/>
  <c r="N17" i="22" s="1"/>
  <c r="K16" i="22"/>
  <c r="H16" i="22"/>
  <c r="E16" i="22"/>
  <c r="E17" i="22" s="1"/>
  <c r="S15" i="22"/>
  <c r="R15" i="22"/>
  <c r="P15" i="22"/>
  <c r="O15" i="22"/>
  <c r="M15" i="22"/>
  <c r="L15" i="22"/>
  <c r="K15" i="22"/>
  <c r="J15" i="22"/>
  <c r="I15" i="22"/>
  <c r="H15" i="22"/>
  <c r="G15" i="22"/>
  <c r="F15" i="22"/>
  <c r="Q14" i="22"/>
  <c r="Q15" i="22" s="1"/>
  <c r="N14" i="22"/>
  <c r="N15" i="22" s="1"/>
  <c r="K14" i="22"/>
  <c r="H14" i="22"/>
  <c r="E14" i="22"/>
  <c r="E15" i="22" s="1"/>
  <c r="S13" i="22"/>
  <c r="R13" i="22"/>
  <c r="P13" i="22"/>
  <c r="O13" i="22"/>
  <c r="M13" i="22"/>
  <c r="L13" i="22"/>
  <c r="K13" i="22"/>
  <c r="J13" i="22"/>
  <c r="I13" i="22"/>
  <c r="H13" i="22"/>
  <c r="G13" i="22"/>
  <c r="F13" i="22"/>
  <c r="Q12" i="22"/>
  <c r="Q13" i="22" s="1"/>
  <c r="N12" i="22"/>
  <c r="N13" i="22" s="1"/>
  <c r="K12" i="22"/>
  <c r="H12" i="22"/>
  <c r="E12" i="22"/>
  <c r="E13" i="22" s="1"/>
  <c r="S11" i="22"/>
  <c r="R11" i="22"/>
  <c r="P11" i="22"/>
  <c r="O11" i="22"/>
  <c r="M11" i="22"/>
  <c r="L11" i="22"/>
  <c r="K11" i="22"/>
  <c r="J11" i="22"/>
  <c r="I11" i="22"/>
  <c r="H11" i="22"/>
  <c r="G11" i="22"/>
  <c r="F11" i="22"/>
  <c r="Q10" i="22"/>
  <c r="Q11" i="22" s="1"/>
  <c r="N10" i="22"/>
  <c r="N11" i="22" s="1"/>
  <c r="K10" i="22"/>
  <c r="H10" i="22"/>
  <c r="E10" i="22"/>
  <c r="E11" i="22" s="1"/>
  <c r="S9" i="22"/>
  <c r="R9" i="22"/>
  <c r="P9" i="22"/>
  <c r="O9" i="22"/>
  <c r="M9" i="22"/>
  <c r="L9" i="22"/>
  <c r="K9" i="22"/>
  <c r="J9" i="22"/>
  <c r="I9" i="22"/>
  <c r="H9" i="22"/>
  <c r="G9" i="22"/>
  <c r="F9" i="22"/>
  <c r="Q8" i="22"/>
  <c r="Q9" i="22" s="1"/>
  <c r="N8" i="22"/>
  <c r="N28" i="22" s="1"/>
  <c r="N29" i="22" s="1"/>
  <c r="K8" i="22"/>
  <c r="H8" i="22"/>
  <c r="H28" i="22" s="1"/>
  <c r="H29" i="22" s="1"/>
  <c r="E8" i="22"/>
  <c r="E9" i="22" s="1"/>
  <c r="S7" i="22"/>
  <c r="R7" i="22"/>
  <c r="P7" i="22"/>
  <c r="O7" i="22"/>
  <c r="M7" i="22"/>
  <c r="L7" i="22"/>
  <c r="K7" i="22"/>
  <c r="J7" i="22"/>
  <c r="I7" i="22"/>
  <c r="H7" i="22"/>
  <c r="G7" i="22"/>
  <c r="F7" i="22"/>
  <c r="Q6" i="22"/>
  <c r="Q7" i="22" s="1"/>
  <c r="N6" i="22"/>
  <c r="N7" i="22" s="1"/>
  <c r="K6" i="22"/>
  <c r="K26" i="22" s="1"/>
  <c r="K27" i="22" s="1"/>
  <c r="H6" i="22"/>
  <c r="E6" i="22"/>
  <c r="E26" i="22" s="1"/>
  <c r="E27" i="22" s="1"/>
  <c r="V28" i="21"/>
  <c r="W28" i="21" s="1"/>
  <c r="T28" i="21"/>
  <c r="U28" i="21" s="1"/>
  <c r="P28" i="21"/>
  <c r="S28" i="21" s="1"/>
  <c r="O28" i="21"/>
  <c r="M28" i="21"/>
  <c r="K28" i="21"/>
  <c r="I28" i="21"/>
  <c r="G28" i="21"/>
  <c r="E28" i="21"/>
  <c r="M27" i="21"/>
  <c r="I27" i="21"/>
  <c r="E27" i="21"/>
  <c r="Q26" i="21"/>
  <c r="O26" i="21"/>
  <c r="M26" i="21"/>
  <c r="K26" i="21"/>
  <c r="I26" i="21"/>
  <c r="G26" i="21"/>
  <c r="E26" i="21"/>
  <c r="W25" i="21"/>
  <c r="U25" i="21"/>
  <c r="S25" i="21"/>
  <c r="O25" i="21"/>
  <c r="M25" i="21"/>
  <c r="K25" i="21"/>
  <c r="I25" i="21"/>
  <c r="G25" i="21"/>
  <c r="E25" i="21"/>
  <c r="W24" i="21"/>
  <c r="S24" i="21"/>
  <c r="Q24" i="21"/>
  <c r="O24" i="21"/>
  <c r="M24" i="21"/>
  <c r="K24" i="21"/>
  <c r="I24" i="21"/>
  <c r="G24" i="21"/>
  <c r="E24" i="21"/>
  <c r="W23" i="21"/>
  <c r="U23" i="21"/>
  <c r="S23" i="21"/>
  <c r="O23" i="21"/>
  <c r="M23" i="21"/>
  <c r="K23" i="21"/>
  <c r="I23" i="21"/>
  <c r="G23" i="21"/>
  <c r="E23" i="21"/>
  <c r="W22" i="21"/>
  <c r="S22" i="21"/>
  <c r="Q22" i="21"/>
  <c r="O22" i="21"/>
  <c r="M22" i="21"/>
  <c r="K22" i="21"/>
  <c r="I22" i="21"/>
  <c r="G22" i="21"/>
  <c r="E22" i="21"/>
  <c r="W21" i="21"/>
  <c r="U21" i="21"/>
  <c r="S21" i="21"/>
  <c r="O21" i="21"/>
  <c r="M21" i="21"/>
  <c r="K21" i="21"/>
  <c r="I21" i="21"/>
  <c r="G21" i="21"/>
  <c r="E21" i="21"/>
  <c r="W20" i="21"/>
  <c r="S20" i="21"/>
  <c r="Q20" i="21"/>
  <c r="O20" i="21"/>
  <c r="M20" i="21"/>
  <c r="K20" i="21"/>
  <c r="I20" i="21"/>
  <c r="G20" i="21"/>
  <c r="E20" i="21"/>
  <c r="W19" i="21"/>
  <c r="U19" i="21"/>
  <c r="S19" i="21"/>
  <c r="O19" i="21"/>
  <c r="M19" i="21"/>
  <c r="K19" i="21"/>
  <c r="I19" i="21"/>
  <c r="G19" i="21"/>
  <c r="E19" i="21"/>
  <c r="W18" i="21"/>
  <c r="S18" i="21"/>
  <c r="Q18" i="21"/>
  <c r="O18" i="21"/>
  <c r="M18" i="21"/>
  <c r="K18" i="21"/>
  <c r="I18" i="21"/>
  <c r="G18" i="21"/>
  <c r="E18" i="21"/>
  <c r="W17" i="21"/>
  <c r="U17" i="21"/>
  <c r="S17" i="21"/>
  <c r="O17" i="21"/>
  <c r="M17" i="21"/>
  <c r="K17" i="21"/>
  <c r="I17" i="21"/>
  <c r="G17" i="21"/>
  <c r="E17" i="21"/>
  <c r="W16" i="21"/>
  <c r="S16" i="21"/>
  <c r="Q16" i="21"/>
  <c r="O16" i="21"/>
  <c r="M16" i="21"/>
  <c r="K16" i="21"/>
  <c r="I16" i="21"/>
  <c r="G16" i="21"/>
  <c r="E16" i="21"/>
  <c r="W15" i="21"/>
  <c r="U15" i="21"/>
  <c r="S15" i="21"/>
  <c r="O15" i="21"/>
  <c r="M15" i="21"/>
  <c r="K15" i="21"/>
  <c r="I15" i="21"/>
  <c r="G15" i="21"/>
  <c r="E15" i="21"/>
  <c r="W14" i="21"/>
  <c r="S14" i="21"/>
  <c r="Q14" i="21"/>
  <c r="O14" i="21"/>
  <c r="M14" i="21"/>
  <c r="K14" i="21"/>
  <c r="I14" i="21"/>
  <c r="G14" i="21"/>
  <c r="E14" i="21"/>
  <c r="W13" i="21"/>
  <c r="U13" i="21"/>
  <c r="S13" i="21"/>
  <c r="O13" i="21"/>
  <c r="M13" i="21"/>
  <c r="K13" i="21"/>
  <c r="I13" i="21"/>
  <c r="G13" i="21"/>
  <c r="E13" i="21"/>
  <c r="W12" i="21"/>
  <c r="S12" i="21"/>
  <c r="Q12" i="21"/>
  <c r="O12" i="21"/>
  <c r="M12" i="21"/>
  <c r="K12" i="21"/>
  <c r="I12" i="21"/>
  <c r="G12" i="21"/>
  <c r="E12" i="21"/>
  <c r="W11" i="21"/>
  <c r="U11" i="21"/>
  <c r="S11" i="21"/>
  <c r="O11" i="21"/>
  <c r="M11" i="21"/>
  <c r="K11" i="21"/>
  <c r="I11" i="21"/>
  <c r="G11" i="21"/>
  <c r="E11" i="21"/>
  <c r="W10" i="21"/>
  <c r="S10" i="21"/>
  <c r="Q10" i="21"/>
  <c r="O10" i="21"/>
  <c r="M10" i="21"/>
  <c r="K10" i="21"/>
  <c r="I10" i="21"/>
  <c r="G10" i="21"/>
  <c r="E10" i="21"/>
  <c r="W9" i="21"/>
  <c r="U9" i="21"/>
  <c r="S9" i="21"/>
  <c r="O9" i="21"/>
  <c r="M9" i="21"/>
  <c r="K9" i="21"/>
  <c r="I9" i="21"/>
  <c r="G9" i="21"/>
  <c r="E9" i="21"/>
  <c r="W8" i="21"/>
  <c r="S8" i="21"/>
  <c r="Q8" i="21"/>
  <c r="O8" i="21"/>
  <c r="M8" i="21"/>
  <c r="K8" i="21"/>
  <c r="I8" i="21"/>
  <c r="G8" i="21"/>
  <c r="E8" i="21"/>
  <c r="W7" i="21"/>
  <c r="U7" i="21"/>
  <c r="S7" i="21"/>
  <c r="O7" i="21"/>
  <c r="M7" i="21"/>
  <c r="K7" i="21"/>
  <c r="I7" i="21"/>
  <c r="G7" i="21"/>
  <c r="E7" i="21"/>
  <c r="U11" i="20"/>
  <c r="V11" i="20"/>
  <c r="W11" i="20"/>
  <c r="U14" i="20"/>
  <c r="V14" i="20"/>
  <c r="W14" i="20"/>
  <c r="P11" i="20"/>
  <c r="Q11" i="20"/>
  <c r="R11" i="20"/>
  <c r="P14" i="20"/>
  <c r="Q14" i="20"/>
  <c r="R14" i="20"/>
  <c r="K11" i="20"/>
  <c r="L11" i="20"/>
  <c r="M11" i="20"/>
  <c r="K14" i="20"/>
  <c r="L14" i="20"/>
  <c r="M14" i="20"/>
  <c r="F11" i="20"/>
  <c r="G11" i="20"/>
  <c r="H11" i="20"/>
  <c r="F14" i="20"/>
  <c r="G14" i="20"/>
  <c r="H14" i="20"/>
  <c r="T21" i="16"/>
  <c r="Q21" i="16"/>
  <c r="O21" i="16"/>
  <c r="M21" i="16"/>
  <c r="K21" i="16"/>
  <c r="I21" i="16"/>
  <c r="G21" i="16"/>
  <c r="E21" i="16"/>
  <c r="U41" i="15"/>
  <c r="R41" i="15"/>
  <c r="O41" i="15"/>
  <c r="L41" i="15"/>
  <c r="I41" i="15"/>
  <c r="F41" i="15"/>
  <c r="U40" i="15"/>
  <c r="R40" i="15"/>
  <c r="O40" i="15"/>
  <c r="L40" i="15"/>
  <c r="I40" i="15"/>
  <c r="F40" i="15"/>
  <c r="U39" i="15"/>
  <c r="R39" i="15"/>
  <c r="O39" i="15"/>
  <c r="L39" i="15"/>
  <c r="I39" i="15"/>
  <c r="F39" i="15"/>
  <c r="U35" i="15"/>
  <c r="R35" i="15"/>
  <c r="O35" i="15"/>
  <c r="L35" i="15"/>
  <c r="I35" i="15"/>
  <c r="F35" i="15"/>
  <c r="U34" i="15"/>
  <c r="R34" i="15"/>
  <c r="O34" i="15"/>
  <c r="L34" i="15"/>
  <c r="I34" i="15"/>
  <c r="F34" i="15"/>
  <c r="U33" i="15"/>
  <c r="R33" i="15"/>
  <c r="O33" i="15"/>
  <c r="L33" i="15"/>
  <c r="I33" i="15"/>
  <c r="F33" i="15"/>
  <c r="U32" i="15"/>
  <c r="R32" i="15"/>
  <c r="O32" i="15"/>
  <c r="L32" i="15"/>
  <c r="I32" i="15"/>
  <c r="F32" i="15"/>
  <c r="U31" i="15"/>
  <c r="R31" i="15"/>
  <c r="O31" i="15"/>
  <c r="L31" i="15"/>
  <c r="I31" i="15"/>
  <c r="F31" i="15"/>
  <c r="U30" i="15"/>
  <c r="R30" i="15"/>
  <c r="O30" i="15"/>
  <c r="L30" i="15"/>
  <c r="I30" i="15"/>
  <c r="F30" i="15"/>
  <c r="U29" i="15"/>
  <c r="R29" i="15"/>
  <c r="O29" i="15"/>
  <c r="L29" i="15"/>
  <c r="I29" i="15"/>
  <c r="F29" i="15"/>
  <c r="U28" i="15"/>
  <c r="U38" i="15" s="1"/>
  <c r="R28" i="15"/>
  <c r="R38" i="15" s="1"/>
  <c r="O28" i="15"/>
  <c r="O38" i="15" s="1"/>
  <c r="L28" i="15"/>
  <c r="L38" i="15" s="1"/>
  <c r="I28" i="15"/>
  <c r="I38" i="15" s="1"/>
  <c r="F28" i="15"/>
  <c r="F38" i="15" s="1"/>
  <c r="U27" i="15"/>
  <c r="U37" i="15" s="1"/>
  <c r="R27" i="15"/>
  <c r="R37" i="15" s="1"/>
  <c r="O27" i="15"/>
  <c r="O37" i="15" s="1"/>
  <c r="L27" i="15"/>
  <c r="L37" i="15" s="1"/>
  <c r="I27" i="15"/>
  <c r="I37" i="15" s="1"/>
  <c r="F27" i="15"/>
  <c r="F37" i="15" s="1"/>
  <c r="U26" i="15"/>
  <c r="U36" i="15" s="1"/>
  <c r="R26" i="15"/>
  <c r="R36" i="15" s="1"/>
  <c r="O26" i="15"/>
  <c r="O36" i="15" s="1"/>
  <c r="L36" i="15"/>
  <c r="I26" i="15"/>
  <c r="I36" i="15" s="1"/>
  <c r="F26" i="15"/>
  <c r="F36" i="15" s="1"/>
  <c r="U21" i="15"/>
  <c r="R21" i="15"/>
  <c r="O21" i="15"/>
  <c r="L21" i="15"/>
  <c r="I21" i="15"/>
  <c r="F21" i="15"/>
  <c r="U20" i="15"/>
  <c r="R20" i="15"/>
  <c r="O20" i="15"/>
  <c r="L20" i="15"/>
  <c r="I20" i="15"/>
  <c r="F20" i="15"/>
  <c r="U19" i="15"/>
  <c r="R19" i="15"/>
  <c r="O19" i="15"/>
  <c r="L19" i="15"/>
  <c r="I19" i="15"/>
  <c r="F19" i="15"/>
  <c r="U15" i="15"/>
  <c r="R15" i="15"/>
  <c r="O15" i="15"/>
  <c r="L15" i="15"/>
  <c r="I15" i="15"/>
  <c r="F15" i="15"/>
  <c r="U14" i="15"/>
  <c r="R14" i="15"/>
  <c r="O14" i="15"/>
  <c r="L14" i="15"/>
  <c r="I14" i="15"/>
  <c r="F14" i="15"/>
  <c r="U13" i="15"/>
  <c r="R13" i="15"/>
  <c r="O13" i="15"/>
  <c r="L13" i="15"/>
  <c r="I13" i="15"/>
  <c r="F13" i="15"/>
  <c r="U12" i="15"/>
  <c r="R12" i="15"/>
  <c r="O12" i="15"/>
  <c r="L12" i="15"/>
  <c r="I12" i="15"/>
  <c r="F12" i="15"/>
  <c r="U11" i="15"/>
  <c r="R11" i="15"/>
  <c r="O11" i="15"/>
  <c r="L11" i="15"/>
  <c r="I11" i="15"/>
  <c r="F11" i="15"/>
  <c r="U10" i="15"/>
  <c r="R10" i="15"/>
  <c r="O10" i="15"/>
  <c r="L10" i="15"/>
  <c r="I10" i="15"/>
  <c r="F10" i="15"/>
  <c r="U9" i="15"/>
  <c r="R9" i="15"/>
  <c r="O9" i="15"/>
  <c r="L9" i="15"/>
  <c r="I9" i="15"/>
  <c r="F9" i="15"/>
  <c r="U8" i="15"/>
  <c r="U18" i="15" s="1"/>
  <c r="R8" i="15"/>
  <c r="R18" i="15" s="1"/>
  <c r="O8" i="15"/>
  <c r="O18" i="15" s="1"/>
  <c r="L8" i="15"/>
  <c r="L18" i="15" s="1"/>
  <c r="I8" i="15"/>
  <c r="I18" i="15" s="1"/>
  <c r="F8" i="15"/>
  <c r="F18" i="15" s="1"/>
  <c r="U7" i="15"/>
  <c r="U17" i="15" s="1"/>
  <c r="R7" i="15"/>
  <c r="R17" i="15" s="1"/>
  <c r="O7" i="15"/>
  <c r="O17" i="15" s="1"/>
  <c r="L7" i="15"/>
  <c r="L17" i="15" s="1"/>
  <c r="I7" i="15"/>
  <c r="I17" i="15" s="1"/>
  <c r="F7" i="15"/>
  <c r="F17" i="15" s="1"/>
  <c r="U6" i="15"/>
  <c r="U16" i="15" s="1"/>
  <c r="R6" i="15"/>
  <c r="R16" i="15" s="1"/>
  <c r="O6" i="15"/>
  <c r="O16" i="15" s="1"/>
  <c r="L6" i="15"/>
  <c r="L16" i="15" s="1"/>
  <c r="I6" i="15"/>
  <c r="I16" i="15" s="1"/>
  <c r="F6" i="15"/>
  <c r="F16" i="15" s="1"/>
  <c r="K28" i="10"/>
  <c r="O28" i="10"/>
  <c r="S28" i="10"/>
  <c r="K21" i="10"/>
  <c r="O21" i="10"/>
  <c r="S21" i="10"/>
  <c r="S25" i="10" s="1"/>
  <c r="K22" i="10"/>
  <c r="O22" i="10"/>
  <c r="S22" i="10"/>
  <c r="K23" i="10"/>
  <c r="O23" i="10"/>
  <c r="S23" i="10"/>
  <c r="K24" i="10"/>
  <c r="O24" i="10"/>
  <c r="O25" i="10" s="1"/>
  <c r="S24" i="10"/>
  <c r="I25" i="10"/>
  <c r="J25" i="10"/>
  <c r="K25" i="10"/>
  <c r="M25" i="10"/>
  <c r="N25" i="10"/>
  <c r="Q25" i="10"/>
  <c r="R25" i="10"/>
  <c r="K16" i="10"/>
  <c r="O16" i="10"/>
  <c r="S16" i="10"/>
  <c r="K17" i="10"/>
  <c r="K18" i="10" s="1"/>
  <c r="O17" i="10"/>
  <c r="S17" i="10"/>
  <c r="I18" i="10"/>
  <c r="J18" i="10"/>
  <c r="M18" i="10"/>
  <c r="N18" i="10"/>
  <c r="O18" i="10"/>
  <c r="Q18" i="10"/>
  <c r="R18" i="10"/>
  <c r="S18" i="10"/>
  <c r="K9" i="10"/>
  <c r="K12" i="10" s="1"/>
  <c r="O9" i="10"/>
  <c r="S9" i="10"/>
  <c r="S12" i="10" s="1"/>
  <c r="K10" i="10"/>
  <c r="O10" i="10"/>
  <c r="O12" i="10" s="1"/>
  <c r="S10" i="10"/>
  <c r="K11" i="10"/>
  <c r="O11" i="10"/>
  <c r="S11" i="10"/>
  <c r="I12" i="10"/>
  <c r="J12" i="10"/>
  <c r="M12" i="10"/>
  <c r="N12" i="10"/>
  <c r="Q12" i="10"/>
  <c r="R12" i="10"/>
  <c r="O24" i="4"/>
  <c r="O27" i="4" s="1"/>
  <c r="N24" i="4"/>
  <c r="N27" i="4" s="1"/>
  <c r="M24" i="4"/>
  <c r="M27" i="4" s="1"/>
  <c r="L24" i="4"/>
  <c r="L27" i="4" s="1"/>
  <c r="M20" i="4"/>
  <c r="O17" i="4"/>
  <c r="O20" i="4" s="1"/>
  <c r="N17" i="4"/>
  <c r="N20" i="4" s="1"/>
  <c r="M17" i="4"/>
  <c r="L17" i="4"/>
  <c r="L20" i="4" s="1"/>
  <c r="G21" i="4"/>
  <c r="G25" i="4" s="1"/>
  <c r="F21" i="4"/>
  <c r="F25" i="4" s="1"/>
  <c r="E21" i="4"/>
  <c r="E25" i="4" s="1"/>
  <c r="D21" i="4"/>
  <c r="D25" i="4" s="1"/>
  <c r="F19" i="4"/>
  <c r="E19" i="4"/>
  <c r="D19" i="4"/>
  <c r="G10" i="4"/>
  <c r="F10" i="4"/>
  <c r="E10" i="4"/>
  <c r="D10" i="4"/>
  <c r="G8" i="4"/>
  <c r="F8" i="4"/>
  <c r="E8" i="4"/>
  <c r="D8" i="4"/>
  <c r="M24" i="9"/>
  <c r="L24" i="9"/>
  <c r="K24" i="9"/>
  <c r="J24" i="9"/>
  <c r="I24" i="9"/>
  <c r="H24" i="9"/>
  <c r="G24" i="9"/>
  <c r="F24" i="9"/>
  <c r="E24" i="9"/>
  <c r="D24" i="9"/>
  <c r="M23" i="9"/>
  <c r="L23" i="9"/>
  <c r="K23" i="9"/>
  <c r="J23" i="9"/>
  <c r="I23" i="9"/>
  <c r="H23" i="9"/>
  <c r="G23" i="9"/>
  <c r="F23" i="9"/>
  <c r="E23" i="9"/>
  <c r="D23" i="9"/>
  <c r="M22" i="9"/>
  <c r="L22" i="9"/>
  <c r="K22" i="9"/>
  <c r="J22" i="9"/>
  <c r="I22" i="9"/>
  <c r="H22" i="9"/>
  <c r="G22" i="9"/>
  <c r="F22" i="9"/>
  <c r="E22" i="9"/>
  <c r="D22" i="9"/>
  <c r="M21" i="9"/>
  <c r="M25" i="9" s="1"/>
  <c r="L21" i="9"/>
  <c r="L25" i="9" s="1"/>
  <c r="K21" i="9"/>
  <c r="K20" i="9" s="1"/>
  <c r="J21" i="9"/>
  <c r="J25" i="9" s="1"/>
  <c r="I21" i="9"/>
  <c r="I25" i="9" s="1"/>
  <c r="H21" i="9"/>
  <c r="H25" i="9" s="1"/>
  <c r="G21" i="9"/>
  <c r="G20" i="9" s="1"/>
  <c r="F21" i="9"/>
  <c r="F25" i="9" s="1"/>
  <c r="E21" i="9"/>
  <c r="E25" i="9" s="1"/>
  <c r="D21" i="9"/>
  <c r="D25" i="9" s="1"/>
  <c r="M20" i="9"/>
  <c r="L20" i="9"/>
  <c r="J20" i="9"/>
  <c r="I20" i="9"/>
  <c r="H20" i="9"/>
  <c r="F20" i="9"/>
  <c r="E20" i="9"/>
  <c r="D20" i="9"/>
  <c r="J13" i="9"/>
  <c r="I13" i="9"/>
  <c r="F13" i="9"/>
  <c r="E13" i="9"/>
  <c r="M8" i="9"/>
  <c r="L8" i="9"/>
  <c r="L13" i="9" s="1"/>
  <c r="K8" i="9"/>
  <c r="K13" i="9" s="1"/>
  <c r="J8" i="9"/>
  <c r="I8" i="9"/>
  <c r="H8" i="9"/>
  <c r="H13" i="9" s="1"/>
  <c r="G8" i="9"/>
  <c r="G13" i="9" s="1"/>
  <c r="F8" i="9"/>
  <c r="E8" i="9"/>
  <c r="D8" i="9"/>
  <c r="D13" i="9" s="1"/>
  <c r="D18" i="9"/>
  <c r="E18" i="9"/>
  <c r="F18" i="9"/>
  <c r="G18" i="9"/>
  <c r="H18" i="9"/>
  <c r="I18" i="9"/>
  <c r="J18" i="9"/>
  <c r="K18" i="9"/>
  <c r="L18" i="9"/>
  <c r="M18" i="9"/>
  <c r="N18" i="9"/>
  <c r="D7" i="24" l="1"/>
  <c r="D26" i="24" s="1"/>
  <c r="D21" i="24"/>
  <c r="D27" i="24" s="1"/>
  <c r="D25" i="24"/>
  <c r="Q26" i="22"/>
  <c r="Q27" i="22" s="1"/>
  <c r="E7" i="22"/>
  <c r="M29" i="22"/>
  <c r="Q33" i="22"/>
  <c r="N9" i="22"/>
  <c r="E28" i="22"/>
  <c r="E29" i="22" s="1"/>
  <c r="I29" i="22"/>
  <c r="Q7" i="21"/>
  <c r="U8" i="21"/>
  <c r="Q9" i="21"/>
  <c r="U10" i="21"/>
  <c r="Q11" i="21"/>
  <c r="U12" i="21"/>
  <c r="Q13" i="21"/>
  <c r="U14" i="21"/>
  <c r="Q15" i="21"/>
  <c r="U16" i="21"/>
  <c r="Q17" i="21"/>
  <c r="U18" i="21"/>
  <c r="Q19" i="21"/>
  <c r="U20" i="21"/>
  <c r="Q21" i="21"/>
  <c r="U22" i="21"/>
  <c r="Q23" i="21"/>
  <c r="U24" i="21"/>
  <c r="Q25" i="21"/>
  <c r="U27" i="21"/>
  <c r="Q28" i="21"/>
  <c r="U26" i="21"/>
  <c r="Q27" i="21"/>
  <c r="G25" i="9"/>
  <c r="K25" i="9"/>
  <c r="Q29" i="22" l="1"/>
  <c r="X38" i="15" l="1"/>
  <c r="X37" i="15"/>
  <c r="X36" i="15"/>
  <c r="X16" i="15"/>
  <c r="X18" i="15"/>
  <c r="X17" i="15"/>
  <c r="Z28" i="21" l="1"/>
  <c r="G28" i="10" l="1"/>
  <c r="G24" i="10"/>
  <c r="G23" i="10"/>
  <c r="G22" i="10"/>
  <c r="G21" i="10"/>
  <c r="G17" i="10"/>
  <c r="G16" i="10"/>
  <c r="G11" i="10"/>
  <c r="G10" i="10"/>
  <c r="G9" i="10"/>
  <c r="N8" i="9"/>
  <c r="G25" i="10" l="1"/>
  <c r="G18" i="10"/>
  <c r="G12" i="10"/>
  <c r="P27" i="4" l="1"/>
  <c r="P20" i="4"/>
  <c r="H25" i="4"/>
  <c r="P29" i="4" l="1"/>
  <c r="H10" i="4"/>
  <c r="H8" i="4"/>
  <c r="E20" i="29"/>
  <c r="H21" i="24"/>
  <c r="V27" i="22"/>
  <c r="V13" i="16"/>
  <c r="W12" i="16" s="1"/>
  <c r="V15" i="16"/>
  <c r="V14" i="16"/>
  <c r="O11" i="19"/>
  <c r="O21" i="19" s="1"/>
  <c r="T14" i="20"/>
  <c r="T11" i="20"/>
  <c r="O14" i="20"/>
  <c r="O11" i="20"/>
  <c r="J14" i="20"/>
  <c r="J11" i="20"/>
  <c r="E14" i="20"/>
  <c r="E11" i="20"/>
  <c r="W21" i="16" l="1"/>
  <c r="W14" i="16"/>
  <c r="W8" i="16"/>
  <c r="W10" i="16"/>
  <c r="W9" i="16"/>
  <c r="W11" i="16"/>
  <c r="W15" i="16"/>
  <c r="W13" i="16" l="1"/>
  <c r="N11" i="19"/>
  <c r="N21" i="19" s="1"/>
  <c r="D24" i="12" l="1"/>
  <c r="M29" i="4"/>
  <c r="N29" i="4"/>
  <c r="O29" i="4"/>
  <c r="L29" i="4"/>
  <c r="H7" i="24" l="1"/>
  <c r="H26" i="24" s="1"/>
  <c r="H25" i="24"/>
  <c r="H27" i="24"/>
  <c r="N13" i="17" l="1"/>
  <c r="E13" i="17"/>
  <c r="M11" i="19"/>
  <c r="M25" i="27" l="1"/>
  <c r="N25" i="27"/>
  <c r="M26" i="27"/>
  <c r="N26" i="27"/>
  <c r="M27" i="27"/>
  <c r="N27" i="27"/>
  <c r="M28" i="27"/>
  <c r="N28" i="27"/>
  <c r="N24" i="27"/>
  <c r="M24" i="27"/>
  <c r="M21" i="19"/>
  <c r="N23" i="27" l="1"/>
  <c r="S13" i="9"/>
  <c r="X28" i="21" l="1"/>
  <c r="Y7" i="21" s="1"/>
  <c r="Y22" i="21" l="1"/>
  <c r="Y13" i="21"/>
  <c r="D13" i="17"/>
  <c r="D14" i="17"/>
  <c r="D15" i="17"/>
  <c r="S8" i="9"/>
  <c r="P9" i="9"/>
  <c r="S9" i="9"/>
  <c r="P10" i="9"/>
  <c r="S10" i="9"/>
  <c r="P11" i="9"/>
  <c r="S11" i="9"/>
  <c r="P12" i="9"/>
  <c r="S12" i="9"/>
  <c r="H29" i="4" l="1"/>
  <c r="L11" i="19" l="1"/>
  <c r="L21" i="19" s="1"/>
  <c r="G29" i="4"/>
  <c r="F29" i="4"/>
  <c r="E29" i="4"/>
  <c r="D29" i="4"/>
  <c r="P13" i="9" l="1"/>
  <c r="P8" i="9"/>
  <c r="T6" i="20" l="1"/>
  <c r="O6" i="20"/>
  <c r="J6" i="20"/>
  <c r="K11" i="19"/>
  <c r="K21" i="19" s="1"/>
  <c r="U6" i="20" l="1"/>
  <c r="V6" i="20"/>
  <c r="P6" i="20"/>
  <c r="K6" i="20"/>
  <c r="J11" i="19"/>
  <c r="J21" i="19" s="1"/>
  <c r="Q6" i="20"/>
  <c r="L6" i="20"/>
  <c r="I11" i="19"/>
  <c r="I21" i="19" s="1"/>
  <c r="W6" i="20"/>
  <c r="R6" i="20"/>
  <c r="M6" i="20"/>
  <c r="G11" i="19"/>
  <c r="G21" i="19" s="1"/>
  <c r="F11" i="19"/>
  <c r="F21" i="19" s="1"/>
  <c r="E11" i="19"/>
  <c r="E21" i="19" s="1"/>
  <c r="T6" i="22"/>
  <c r="T7" i="22" s="1"/>
  <c r="Q8" i="27"/>
  <c r="P8" i="27"/>
  <c r="H11" i="19"/>
  <c r="H21" i="19" s="1"/>
  <c r="O12" i="17"/>
  <c r="T12" i="22"/>
  <c r="E23" i="27"/>
  <c r="V33" i="22"/>
  <c r="U33" i="22"/>
  <c r="T32" i="22"/>
  <c r="V31" i="22"/>
  <c r="U31" i="22"/>
  <c r="T30" i="22"/>
  <c r="T31" i="22" s="1"/>
  <c r="V28" i="22"/>
  <c r="U28" i="22"/>
  <c r="U27" i="22"/>
  <c r="V25" i="22"/>
  <c r="U25" i="22"/>
  <c r="T24" i="22"/>
  <c r="V23" i="22"/>
  <c r="U23" i="22"/>
  <c r="T22" i="22"/>
  <c r="T23" i="22" s="1"/>
  <c r="V21" i="22"/>
  <c r="U21" i="22"/>
  <c r="T20" i="22"/>
  <c r="V19" i="22"/>
  <c r="U19" i="22"/>
  <c r="T18" i="22"/>
  <c r="T19" i="22" s="1"/>
  <c r="V17" i="22"/>
  <c r="U17" i="22"/>
  <c r="T16" i="22"/>
  <c r="V15" i="22"/>
  <c r="U15" i="22"/>
  <c r="T14" i="22"/>
  <c r="T15" i="22" s="1"/>
  <c r="V13" i="22"/>
  <c r="U13" i="22"/>
  <c r="V11" i="22"/>
  <c r="U11" i="22"/>
  <c r="T10" i="22"/>
  <c r="T11" i="22" s="1"/>
  <c r="V9" i="22"/>
  <c r="U9" i="22"/>
  <c r="T8" i="22"/>
  <c r="V7" i="22"/>
  <c r="U7" i="22"/>
  <c r="AA24" i="21"/>
  <c r="AA23" i="21"/>
  <c r="AA22" i="21"/>
  <c r="AA21" i="21"/>
  <c r="AA20" i="21"/>
  <c r="AA19" i="21"/>
  <c r="AA18" i="21"/>
  <c r="AA17" i="21"/>
  <c r="AA16" i="21"/>
  <c r="AA15" i="21"/>
  <c r="AA14" i="21"/>
  <c r="AA13" i="21"/>
  <c r="AA12" i="21"/>
  <c r="AA11" i="21"/>
  <c r="AA10" i="21"/>
  <c r="AA9" i="21"/>
  <c r="AA8" i="21"/>
  <c r="AA7" i="21"/>
  <c r="N24" i="9"/>
  <c r="O25" i="27"/>
  <c r="J23" i="27"/>
  <c r="O24" i="27"/>
  <c r="K23" i="27"/>
  <c r="H23" i="27"/>
  <c r="AB28" i="2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AB7" i="21"/>
  <c r="M15" i="17"/>
  <c r="J15" i="17"/>
  <c r="G15" i="17"/>
  <c r="M14" i="17"/>
  <c r="J14" i="17"/>
  <c r="G14" i="17"/>
  <c r="Q13" i="17"/>
  <c r="P13" i="17"/>
  <c r="M13" i="17"/>
  <c r="O19" i="17" s="1"/>
  <c r="K13" i="17"/>
  <c r="J13" i="17"/>
  <c r="H13" i="17"/>
  <c r="G13" i="17"/>
  <c r="R12" i="17"/>
  <c r="L12" i="17"/>
  <c r="I12" i="17"/>
  <c r="R11" i="17"/>
  <c r="O11" i="17"/>
  <c r="L11" i="17"/>
  <c r="I11" i="17"/>
  <c r="R10" i="17"/>
  <c r="O10" i="17"/>
  <c r="L10" i="17"/>
  <c r="I10" i="17"/>
  <c r="R9" i="17"/>
  <c r="O9" i="17"/>
  <c r="L9" i="17"/>
  <c r="I9" i="17"/>
  <c r="F9" i="17"/>
  <c r="R8" i="17"/>
  <c r="O8" i="17"/>
  <c r="L8" i="17"/>
  <c r="I8" i="17"/>
  <c r="N24" i="12"/>
  <c r="P27" i="12" s="1"/>
  <c r="K24" i="12"/>
  <c r="N23" i="12"/>
  <c r="I23" i="12"/>
  <c r="D23" i="12"/>
  <c r="N9" i="12"/>
  <c r="P13" i="12" s="1"/>
  <c r="I9" i="12"/>
  <c r="K11" i="12" s="1"/>
  <c r="D9" i="12"/>
  <c r="F15" i="12" s="1"/>
  <c r="N8" i="12"/>
  <c r="I8" i="12"/>
  <c r="N23" i="11"/>
  <c r="P25" i="11" s="1"/>
  <c r="K26" i="11"/>
  <c r="D23" i="11"/>
  <c r="F28" i="11" s="1"/>
  <c r="N22" i="11"/>
  <c r="I22" i="11"/>
  <c r="D22" i="11"/>
  <c r="N8" i="11"/>
  <c r="P8" i="11" s="1"/>
  <c r="K10" i="11"/>
  <c r="D8" i="11"/>
  <c r="F8" i="11" s="1"/>
  <c r="N7" i="11"/>
  <c r="I24" i="27"/>
  <c r="I25" i="27"/>
  <c r="I27" i="27"/>
  <c r="I28" i="27"/>
  <c r="F24" i="27"/>
  <c r="F27" i="27"/>
  <c r="F28" i="27"/>
  <c r="P26" i="13"/>
  <c r="P36" i="13"/>
  <c r="P16" i="13"/>
  <c r="L24" i="27"/>
  <c r="L28" i="27"/>
  <c r="L25" i="27"/>
  <c r="L27" i="27"/>
  <c r="G23" i="27"/>
  <c r="Y16" i="21"/>
  <c r="Y17" i="21"/>
  <c r="Y18" i="21"/>
  <c r="Y19" i="21"/>
  <c r="Y20" i="21"/>
  <c r="Y21" i="21"/>
  <c r="Y23" i="21"/>
  <c r="Y24" i="21"/>
  <c r="Y25" i="21"/>
  <c r="Y26" i="21"/>
  <c r="Y27" i="21"/>
  <c r="D23" i="27"/>
  <c r="Y28" i="21"/>
  <c r="AA28" i="21"/>
  <c r="Y8" i="21"/>
  <c r="Y9" i="21"/>
  <c r="Y10" i="21"/>
  <c r="Y11" i="21"/>
  <c r="Y12" i="21"/>
  <c r="Y14" i="21"/>
  <c r="Y15" i="21"/>
  <c r="O28" i="27"/>
  <c r="F11" i="17"/>
  <c r="N23" i="9"/>
  <c r="P10" i="12" l="1"/>
  <c r="F10" i="11"/>
  <c r="T9" i="22"/>
  <c r="O13" i="17"/>
  <c r="P12" i="12"/>
  <c r="F12" i="12"/>
  <c r="F16" i="12"/>
  <c r="P11" i="11"/>
  <c r="L23" i="27"/>
  <c r="I23" i="27"/>
  <c r="F13" i="12"/>
  <c r="F11" i="12"/>
  <c r="F10" i="12"/>
  <c r="F14" i="11"/>
  <c r="P24" i="11"/>
  <c r="P11" i="12"/>
  <c r="T33" i="22"/>
  <c r="T25" i="22"/>
  <c r="I13" i="17"/>
  <c r="P24" i="12"/>
  <c r="K25" i="12"/>
  <c r="P9" i="12"/>
  <c r="K12" i="12"/>
  <c r="K10" i="12"/>
  <c r="K9" i="12"/>
  <c r="P23" i="11"/>
  <c r="P26" i="11"/>
  <c r="P27" i="11"/>
  <c r="K25" i="11"/>
  <c r="K23" i="11"/>
  <c r="K24" i="11"/>
  <c r="F14" i="12"/>
  <c r="F27" i="11"/>
  <c r="F29" i="11"/>
  <c r="F24" i="11"/>
  <c r="F25" i="11"/>
  <c r="F26" i="11"/>
  <c r="F23" i="11"/>
  <c r="M23" i="27"/>
  <c r="O23" i="27" s="1"/>
  <c r="T28" i="22"/>
  <c r="H36" i="13"/>
  <c r="F36" i="13"/>
  <c r="J36" i="13"/>
  <c r="L36" i="13"/>
  <c r="D36" i="13"/>
  <c r="L26" i="13"/>
  <c r="N26" i="13"/>
  <c r="J26" i="13"/>
  <c r="D26" i="13"/>
  <c r="F26" i="13"/>
  <c r="H26" i="13"/>
  <c r="N16" i="13"/>
  <c r="F16" i="13"/>
  <c r="L16" i="13"/>
  <c r="P14" i="17"/>
  <c r="N21" i="9"/>
  <c r="N22" i="9"/>
  <c r="F9" i="12"/>
  <c r="U29" i="22"/>
  <c r="T26" i="22"/>
  <c r="T27" i="22" s="1"/>
  <c r="T13" i="22"/>
  <c r="F10" i="17"/>
  <c r="R13" i="17"/>
  <c r="O18" i="17"/>
  <c r="L19" i="17"/>
  <c r="L13" i="17"/>
  <c r="I18" i="17"/>
  <c r="F13" i="17"/>
  <c r="I19" i="17"/>
  <c r="F8" i="17"/>
  <c r="F19" i="17"/>
  <c r="N36" i="13"/>
  <c r="D16" i="13"/>
  <c r="J16" i="13"/>
  <c r="H16" i="13"/>
  <c r="O27" i="27"/>
  <c r="T17" i="22"/>
  <c r="T21" i="22"/>
  <c r="K11" i="11"/>
  <c r="K8" i="11"/>
  <c r="K9" i="11"/>
  <c r="P26" i="12"/>
  <c r="P25" i="12"/>
  <c r="P28" i="12"/>
  <c r="F12" i="17"/>
  <c r="P15" i="17"/>
  <c r="R18" i="17" s="1"/>
  <c r="F23" i="27"/>
  <c r="F13" i="11"/>
  <c r="F9" i="11"/>
  <c r="F11" i="11"/>
  <c r="F12" i="11"/>
  <c r="P10" i="11"/>
  <c r="P9" i="11"/>
  <c r="P12" i="11"/>
  <c r="K27" i="12"/>
  <c r="K26" i="12"/>
  <c r="L18" i="17"/>
  <c r="R19" i="17"/>
  <c r="V29" i="22"/>
  <c r="N25" i="9" l="1"/>
  <c r="T29" i="22"/>
  <c r="R36" i="13"/>
  <c r="R26" i="13"/>
  <c r="R15" i="17"/>
  <c r="N20" i="9"/>
  <c r="R16" i="13"/>
  <c r="F18" i="17"/>
  <c r="F24" i="12"/>
  <c r="F25" i="12"/>
  <c r="F29" i="12"/>
  <c r="F26" i="12"/>
  <c r="F27" i="12"/>
  <c r="F30" i="12"/>
  <c r="F28" i="12"/>
</calcChain>
</file>

<file path=xl/sharedStrings.xml><?xml version="1.0" encoding="utf-8"?>
<sst xmlns="http://schemas.openxmlformats.org/spreadsheetml/2006/main" count="1065" uniqueCount="562">
  <si>
    <t>`</t>
    <phoneticPr fontId="3" type="noConversion"/>
  </si>
  <si>
    <t>%</t>
    <phoneticPr fontId="3" type="noConversion"/>
  </si>
  <si>
    <t>-</t>
    <phoneticPr fontId="3" type="noConversion"/>
  </si>
  <si>
    <t xml:space="preserve"> </t>
  </si>
  <si>
    <t>충당금</t>
  </si>
  <si>
    <t>연체액</t>
    <phoneticPr fontId="3" type="noConversion"/>
  </si>
  <si>
    <t>법인</t>
    <phoneticPr fontId="3" type="noConversion"/>
  </si>
  <si>
    <t>합계</t>
    <phoneticPr fontId="3" type="noConversion"/>
  </si>
  <si>
    <t>p.17</t>
    <phoneticPr fontId="3" type="noConversion"/>
  </si>
  <si>
    <t>p.18</t>
    <phoneticPr fontId="3" type="noConversion"/>
  </si>
  <si>
    <t>p.19</t>
    <phoneticPr fontId="3" type="noConversion"/>
  </si>
  <si>
    <t>Total</t>
  </si>
  <si>
    <t>Ratio</t>
    <phoneticPr fontId="3" type="noConversion"/>
  </si>
  <si>
    <t>Ratio</t>
  </si>
  <si>
    <t>1)</t>
    <phoneticPr fontId="3" type="noConversion"/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</si>
  <si>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</si>
  <si>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</si>
  <si>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</si>
  <si>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3" type="noConversion"/>
  </si>
  <si>
    <t xml:space="preserve">   현금 및 현금성자산</t>
    <phoneticPr fontId="3" type="noConversion"/>
  </si>
  <si>
    <t xml:space="preserve">      원화현금</t>
    <phoneticPr fontId="3" type="noConversion"/>
  </si>
  <si>
    <t xml:space="preserve">      외화현금</t>
    <phoneticPr fontId="3" type="noConversion"/>
  </si>
  <si>
    <t xml:space="preserve">   금융자산</t>
    <phoneticPr fontId="3" type="noConversion"/>
  </si>
  <si>
    <t xml:space="preserve">      당기손익인식금융자산</t>
    <phoneticPr fontId="3" type="noConversion"/>
  </si>
  <si>
    <t xml:space="preserve">      매도가능금융자산</t>
    <phoneticPr fontId="3" type="noConversion"/>
  </si>
  <si>
    <t xml:space="preserve">      만기보유금융자산</t>
    <phoneticPr fontId="3" type="noConversion"/>
  </si>
  <si>
    <t xml:space="preserve">   대여금 및 수취채권</t>
    <phoneticPr fontId="3" type="noConversion"/>
  </si>
  <si>
    <t xml:space="preserve">      원화대출금</t>
    <phoneticPr fontId="3" type="noConversion"/>
  </si>
  <si>
    <t xml:space="preserve">      외화대출금</t>
    <phoneticPr fontId="3" type="noConversion"/>
  </si>
  <si>
    <t xml:space="preserve">      매입외환</t>
    <phoneticPr fontId="3" type="noConversion"/>
  </si>
  <si>
    <t xml:space="preserve">      신용카드</t>
    <phoneticPr fontId="3" type="noConversion"/>
  </si>
  <si>
    <t xml:space="preserve">      기타</t>
    <phoneticPr fontId="3" type="noConversion"/>
  </si>
  <si>
    <t xml:space="preserve">   관계기업투자자산</t>
    <phoneticPr fontId="3" type="noConversion"/>
  </si>
  <si>
    <t xml:space="preserve">   유형 및 기타자산</t>
    <phoneticPr fontId="3" type="noConversion"/>
  </si>
  <si>
    <t xml:space="preserve">      유형자산</t>
    <phoneticPr fontId="3" type="noConversion"/>
  </si>
  <si>
    <t xml:space="preserve">      무형자산</t>
    <phoneticPr fontId="3" type="noConversion"/>
  </si>
  <si>
    <t xml:space="preserve">      파생상품자산</t>
    <phoneticPr fontId="3" type="noConversion"/>
  </si>
  <si>
    <t xml:space="preserve">      원화예수금</t>
    <phoneticPr fontId="3" type="noConversion"/>
  </si>
  <si>
    <t xml:space="preserve">      외화예수금</t>
    <phoneticPr fontId="3" type="noConversion"/>
  </si>
  <si>
    <t xml:space="preserve">      CD</t>
    <phoneticPr fontId="3" type="noConversion"/>
  </si>
  <si>
    <t xml:space="preserve">      원화차입금</t>
    <phoneticPr fontId="3" type="noConversion"/>
  </si>
  <si>
    <t xml:space="preserve">      외화차입금</t>
    <phoneticPr fontId="3" type="noConversion"/>
  </si>
  <si>
    <t xml:space="preserve">  발행사채</t>
    <phoneticPr fontId="3" type="noConversion"/>
  </si>
  <si>
    <t xml:space="preserve">      원화사채</t>
    <phoneticPr fontId="3" type="noConversion"/>
  </si>
  <si>
    <t xml:space="preserve">      외화사채</t>
    <phoneticPr fontId="3" type="noConversion"/>
  </si>
  <si>
    <t xml:space="preserve">  이익잉여금</t>
    <phoneticPr fontId="3" type="noConversion"/>
  </si>
  <si>
    <t xml:space="preserve">      충당부채</t>
    <phoneticPr fontId="3" type="noConversion"/>
  </si>
  <si>
    <t xml:space="preserve"> 자본총계</t>
    <phoneticPr fontId="3" type="noConversion"/>
  </si>
  <si>
    <t xml:space="preserve"> 부채총계</t>
    <phoneticPr fontId="3" type="noConversion"/>
  </si>
  <si>
    <t xml:space="preserve">  자본금</t>
  </si>
  <si>
    <t xml:space="preserve">  자본잉여금</t>
  </si>
  <si>
    <t xml:space="preserve">  기타자본</t>
    <phoneticPr fontId="3" type="noConversion"/>
  </si>
  <si>
    <t xml:space="preserve">  비지배지분</t>
    <phoneticPr fontId="3" type="noConversion"/>
  </si>
  <si>
    <t xml:space="preserve"> 부채와자본총계</t>
    <phoneticPr fontId="3" type="noConversion"/>
  </si>
  <si>
    <t>(단위: 십억원)</t>
  </si>
  <si>
    <t xml:space="preserve">  영업이익</t>
    <phoneticPr fontId="3" type="noConversion"/>
  </si>
  <si>
    <t xml:space="preserve">   순이자이익</t>
    <phoneticPr fontId="3" type="noConversion"/>
  </si>
  <si>
    <t xml:space="preserve">      이자수익</t>
    <phoneticPr fontId="3" type="noConversion"/>
  </si>
  <si>
    <t xml:space="preserve">      이자비용</t>
    <phoneticPr fontId="3" type="noConversion"/>
  </si>
  <si>
    <t xml:space="preserve">   순수수료수익</t>
    <phoneticPr fontId="3" type="noConversion"/>
  </si>
  <si>
    <t xml:space="preserve">      수수료수익</t>
    <phoneticPr fontId="3" type="noConversion"/>
  </si>
  <si>
    <t xml:space="preserve">      수수료비용</t>
    <phoneticPr fontId="3" type="noConversion"/>
  </si>
  <si>
    <t xml:space="preserve">   배당수익</t>
    <phoneticPr fontId="3" type="noConversion"/>
  </si>
  <si>
    <t xml:space="preserve">   당기손익인식금융자산 관련손익</t>
    <phoneticPr fontId="3" type="noConversion"/>
  </si>
  <si>
    <t xml:space="preserve">   매도가능금융자산 관련손익</t>
    <phoneticPr fontId="3" type="noConversion"/>
  </si>
  <si>
    <t xml:space="preserve">   만기보유금융자산 관련손익</t>
    <phoneticPr fontId="3" type="noConversion"/>
  </si>
  <si>
    <t xml:space="preserve">   신용손실에 대한 손상차손</t>
    <phoneticPr fontId="3" type="noConversion"/>
  </si>
  <si>
    <t xml:space="preserve">   기타영업손익</t>
    <phoneticPr fontId="3" type="noConversion"/>
  </si>
  <si>
    <t>영업외이익</t>
    <phoneticPr fontId="3" type="noConversion"/>
  </si>
  <si>
    <t xml:space="preserve">   관계기업투자자산평가손익</t>
    <phoneticPr fontId="3" type="noConversion"/>
  </si>
  <si>
    <t xml:space="preserve">      기타영업외손익</t>
    <phoneticPr fontId="3" type="noConversion"/>
  </si>
  <si>
    <t xml:space="preserve">  법인세비용차감전 순이익</t>
    <phoneticPr fontId="3" type="noConversion"/>
  </si>
  <si>
    <t>분기중</t>
    <phoneticPr fontId="3" type="noConversion"/>
  </si>
  <si>
    <t>영업이익</t>
    <phoneticPr fontId="3" type="noConversion"/>
  </si>
  <si>
    <t>당기순이익</t>
    <phoneticPr fontId="3" type="noConversion"/>
  </si>
  <si>
    <t>(단위: 십억원)</t>
    <phoneticPr fontId="3" type="noConversion"/>
  </si>
  <si>
    <t>(단위: 십억원)</t>
    <phoneticPr fontId="3" type="noConversion"/>
  </si>
  <si>
    <t xml:space="preserve">     (정기예금)</t>
    <phoneticPr fontId="3" type="noConversion"/>
  </si>
  <si>
    <t xml:space="preserve">    (양도성예금증서(CD))</t>
    <phoneticPr fontId="3" type="noConversion"/>
  </si>
  <si>
    <t>총계</t>
  </si>
  <si>
    <t>1. 저금리성자금은 요구불예금, 가계 및 기업 자유예금 포함</t>
    <phoneticPr fontId="3" type="noConversion"/>
  </si>
  <si>
    <t>*  원화예수금 기준</t>
  </si>
  <si>
    <t>차주별 총여신</t>
    <phoneticPr fontId="3" type="noConversion"/>
  </si>
  <si>
    <r>
      <t>(단위: 십억원</t>
    </r>
    <r>
      <rPr>
        <sz val="8"/>
        <rFont val="굴림"/>
        <family val="3"/>
        <charset val="129"/>
      </rPr>
      <t>)</t>
    </r>
    <phoneticPr fontId="3" type="noConversion"/>
  </si>
  <si>
    <t>총여신</t>
    <phoneticPr fontId="3" type="noConversion"/>
  </si>
  <si>
    <t>총여신</t>
    <phoneticPr fontId="3" type="noConversion"/>
  </si>
  <si>
    <t>기업</t>
  </si>
  <si>
    <t>중소기업</t>
  </si>
  <si>
    <t>대기업</t>
  </si>
  <si>
    <t>가계</t>
  </si>
  <si>
    <t>공공부문 및 기타</t>
  </si>
  <si>
    <t>합 계</t>
    <phoneticPr fontId="3" type="noConversion"/>
  </si>
  <si>
    <t>합 계</t>
    <phoneticPr fontId="3" type="noConversion"/>
  </si>
  <si>
    <r>
      <t xml:space="preserve">(단위: </t>
    </r>
    <r>
      <rPr>
        <sz val="8"/>
        <rFont val="Arial"/>
        <family val="2"/>
      </rPr>
      <t xml:space="preserve"> %</t>
    </r>
    <r>
      <rPr>
        <sz val="8"/>
        <rFont val="굴림"/>
        <family val="3"/>
        <charset val="129"/>
      </rPr>
      <t>)</t>
    </r>
    <phoneticPr fontId="3" type="noConversion"/>
  </si>
  <si>
    <t>* 총여신은 무수익여신 산정대상여신 기준</t>
    <phoneticPr fontId="3" type="noConversion"/>
  </si>
  <si>
    <t>차주별 원화대출금</t>
    <phoneticPr fontId="3" type="noConversion"/>
  </si>
  <si>
    <t>&gt;&gt;기업자금대출</t>
    <phoneticPr fontId="3" type="noConversion"/>
  </si>
  <si>
    <t xml:space="preserve">      대기업</t>
    <phoneticPr fontId="3" type="noConversion"/>
  </si>
  <si>
    <t xml:space="preserve">      중소기업</t>
    <phoneticPr fontId="3" type="noConversion"/>
  </si>
  <si>
    <t xml:space="preserve">        (개인사업자)</t>
    <phoneticPr fontId="3" type="noConversion"/>
  </si>
  <si>
    <t xml:space="preserve">      합   계</t>
    <phoneticPr fontId="3" type="noConversion"/>
  </si>
  <si>
    <t>&gt;&gt;가계자금대출</t>
    <phoneticPr fontId="3" type="noConversion"/>
  </si>
  <si>
    <t xml:space="preserve"> ▶ 차주별</t>
    <phoneticPr fontId="3" type="noConversion"/>
  </si>
  <si>
    <t xml:space="preserve">       개인사업자</t>
    <phoneticPr fontId="3" type="noConversion"/>
  </si>
  <si>
    <t xml:space="preserve">       비사업자</t>
    <phoneticPr fontId="3" type="noConversion"/>
  </si>
  <si>
    <t xml:space="preserve"> ▶ 대출종류별</t>
    <phoneticPr fontId="3" type="noConversion"/>
  </si>
  <si>
    <t xml:space="preserve">      주택담보대출</t>
    <phoneticPr fontId="3" type="noConversion"/>
  </si>
  <si>
    <t xml:space="preserve">      주택자금대출</t>
    <phoneticPr fontId="3" type="noConversion"/>
  </si>
  <si>
    <t xml:space="preserve">      수요자금융</t>
    <phoneticPr fontId="3" type="noConversion"/>
  </si>
  <si>
    <t xml:space="preserve">      기타</t>
    <phoneticPr fontId="3" type="noConversion"/>
  </si>
  <si>
    <t>&gt;&gt;공공 및 기타자금대출금 등</t>
    <phoneticPr fontId="3" type="noConversion"/>
  </si>
  <si>
    <t xml:space="preserve">    공공 및 기타 등(은행간대여포함)</t>
    <phoneticPr fontId="3" type="noConversion"/>
  </si>
  <si>
    <t>금리/ 대출/ 담보별 여신 - 대기업, 중소기업</t>
    <phoneticPr fontId="3" type="noConversion"/>
  </si>
  <si>
    <t>▶금리종류별</t>
    <phoneticPr fontId="3" type="noConversion"/>
  </si>
  <si>
    <t>▶ 대출종류별</t>
    <phoneticPr fontId="3" type="noConversion"/>
  </si>
  <si>
    <t>▶ 담보종류별</t>
    <phoneticPr fontId="3" type="noConversion"/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</si>
  <si>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3" type="noConversion"/>
  </si>
  <si>
    <t>합계</t>
    <phoneticPr fontId="3" type="noConversion"/>
  </si>
  <si>
    <t>프라임연동</t>
  </si>
  <si>
    <t>시장금리연동</t>
  </si>
  <si>
    <t>수신금리연동</t>
  </si>
  <si>
    <t>고정금리</t>
  </si>
  <si>
    <t>정책금리연동</t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</si>
  <si>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3" type="noConversion"/>
  </si>
  <si>
    <t>합계</t>
    <phoneticPr fontId="3" type="noConversion"/>
  </si>
  <si>
    <t>담보</t>
  </si>
  <si>
    <t>무담보(신용)</t>
    <phoneticPr fontId="3" type="noConversion"/>
  </si>
  <si>
    <t>보증서</t>
    <phoneticPr fontId="3" type="noConversion"/>
  </si>
  <si>
    <t>동산/부동산</t>
    <phoneticPr fontId="3" type="noConversion"/>
  </si>
  <si>
    <t>예적금</t>
    <phoneticPr fontId="3" type="noConversion"/>
  </si>
  <si>
    <t>유가증권</t>
    <phoneticPr fontId="3" type="noConversion"/>
  </si>
  <si>
    <t>기타</t>
    <phoneticPr fontId="3" type="noConversion"/>
  </si>
  <si>
    <t>* 은행계정 원화대출금 기준</t>
    <phoneticPr fontId="3" type="noConversion"/>
  </si>
  <si>
    <t>* 대출종류별 담보 현황 (금융감독원 보고 기준)</t>
    <phoneticPr fontId="3" type="noConversion"/>
  </si>
  <si>
    <t>* 금리종류별 : 한국은행 보고서 기준 (당좌차월, 가계당좌차월 및 재정자금대출 제외)</t>
  </si>
  <si>
    <t>금리/ 대출/ 담보별 여신 - 가계, 공공/기타</t>
    <phoneticPr fontId="3" type="noConversion"/>
  </si>
  <si>
    <t>▶ 금리종류별</t>
    <phoneticPr fontId="3" type="noConversion"/>
  </si>
  <si>
    <r>
      <t>(단위: 십억원</t>
    </r>
    <r>
      <rPr>
        <sz val="8"/>
        <rFont val="굴림"/>
        <family val="3"/>
        <charset val="129"/>
      </rPr>
      <t>)</t>
    </r>
    <phoneticPr fontId="3" type="noConversion"/>
  </si>
  <si>
    <r>
      <t>3</t>
    </r>
    <r>
      <rPr>
        <sz val="9"/>
        <color indexed="9"/>
        <rFont val="돋움"/>
        <family val="3"/>
        <charset val="129"/>
      </rPr>
      <t>개월이하</t>
    </r>
    <phoneticPr fontId="3" type="noConversion"/>
  </si>
  <si>
    <r>
      <t>3~6</t>
    </r>
    <r>
      <rPr>
        <sz val="9"/>
        <color indexed="9"/>
        <rFont val="돋움"/>
        <family val="3"/>
        <charset val="129"/>
      </rPr>
      <t>개월이하</t>
    </r>
    <phoneticPr fontId="3" type="noConversion"/>
  </si>
  <si>
    <r>
      <t>6</t>
    </r>
    <r>
      <rPr>
        <sz val="9"/>
        <color indexed="9"/>
        <rFont val="돋움"/>
        <family val="3"/>
        <charset val="129"/>
      </rPr>
      <t>개월</t>
    </r>
    <r>
      <rPr>
        <sz val="9"/>
        <color indexed="9"/>
        <rFont val="Arial"/>
        <family val="2"/>
      </rPr>
      <t>~1</t>
    </r>
    <r>
      <rPr>
        <sz val="9"/>
        <color indexed="9"/>
        <rFont val="돋움"/>
        <family val="3"/>
        <charset val="129"/>
      </rPr>
      <t>년이하</t>
    </r>
    <phoneticPr fontId="3" type="noConversion"/>
  </si>
  <si>
    <r>
      <t>1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>~3</t>
    </r>
    <r>
      <rPr>
        <sz val="9"/>
        <color indexed="9"/>
        <rFont val="돋움"/>
        <family val="3"/>
        <charset val="129"/>
      </rPr>
      <t>년이하</t>
    </r>
    <phoneticPr fontId="3" type="noConversion"/>
  </si>
  <si>
    <r>
      <t>3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~10</t>
    </r>
    <r>
      <rPr>
        <sz val="9"/>
        <color indexed="9"/>
        <rFont val="돋움"/>
        <family val="3"/>
        <charset val="129"/>
      </rPr>
      <t>년이하</t>
    </r>
    <phoneticPr fontId="3" type="noConversion"/>
  </si>
  <si>
    <r>
      <t>10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초과</t>
    </r>
    <phoneticPr fontId="3" type="noConversion"/>
  </si>
  <si>
    <t>연체금액</t>
    <phoneticPr fontId="3" type="noConversion"/>
  </si>
  <si>
    <t>합 계</t>
    <phoneticPr fontId="3" type="noConversion"/>
  </si>
  <si>
    <t>* 잔존만기기준으로 금감원 보고기준(원화대출금에 한함)</t>
    <phoneticPr fontId="3" type="noConversion"/>
  </si>
  <si>
    <t>(단위: 십억원, %)</t>
    <phoneticPr fontId="3" type="noConversion"/>
  </si>
  <si>
    <t xml:space="preserve"> 이자수익자산(A)</t>
    <phoneticPr fontId="3" type="noConversion"/>
  </si>
  <si>
    <t xml:space="preserve">     원화대출금(C)</t>
    <phoneticPr fontId="3" type="noConversion"/>
  </si>
  <si>
    <t xml:space="preserve">     외화대출금(E)</t>
    <phoneticPr fontId="3" type="noConversion"/>
  </si>
  <si>
    <t xml:space="preserve"> 이자비용부채(B)</t>
    <phoneticPr fontId="3" type="noConversion"/>
  </si>
  <si>
    <t xml:space="preserve">     원화예수금(D)</t>
    <phoneticPr fontId="3" type="noConversion"/>
  </si>
  <si>
    <t xml:space="preserve">     외화예수금(F)</t>
    <phoneticPr fontId="3" type="noConversion"/>
  </si>
  <si>
    <t xml:space="preserve">     원화차입금</t>
    <phoneticPr fontId="3" type="noConversion"/>
  </si>
  <si>
    <t xml:space="preserve">     외화차입금</t>
    <phoneticPr fontId="3" type="noConversion"/>
  </si>
  <si>
    <t xml:space="preserve">     원화사채</t>
    <phoneticPr fontId="3" type="noConversion"/>
  </si>
  <si>
    <t xml:space="preserve">     외화사채</t>
    <phoneticPr fontId="3" type="noConversion"/>
  </si>
  <si>
    <r>
      <t>순이자</t>
    </r>
    <r>
      <rPr>
        <sz val="9"/>
        <rFont val="Arial"/>
        <family val="2"/>
      </rPr>
      <t xml:space="preserve"> Spread(A-B)</t>
    </r>
    <phoneticPr fontId="3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</si>
  <si>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3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</si>
  <si>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3" type="noConversion"/>
  </si>
  <si>
    <t>NIM</t>
    <phoneticPr fontId="3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</si>
  <si>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3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</si>
  <si>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3" type="noConversion"/>
  </si>
  <si>
    <r>
      <t xml:space="preserve">* </t>
    </r>
    <r>
      <rPr>
        <sz val="9"/>
        <rFont val="돋움"/>
        <family val="3"/>
        <charset val="129"/>
      </rPr>
      <t>금감원 보고기준</t>
    </r>
    <phoneticPr fontId="3" type="noConversion"/>
  </si>
  <si>
    <t>(단위: 십억원, %)</t>
    <phoneticPr fontId="3" type="noConversion"/>
  </si>
  <si>
    <t>정상</t>
  </si>
  <si>
    <t>요주의</t>
  </si>
  <si>
    <t>고정</t>
  </si>
  <si>
    <t>회수의문</t>
  </si>
  <si>
    <t>추정손실</t>
  </si>
  <si>
    <t>신용공여 합계</t>
  </si>
  <si>
    <t>요주의이하</t>
  </si>
  <si>
    <t>고정이하</t>
  </si>
  <si>
    <t>&gt;&gt;주요비율</t>
    <phoneticPr fontId="3" type="noConversion"/>
  </si>
  <si>
    <t>충당금/신용공여 합계</t>
  </si>
  <si>
    <t>* 무수익여신 기준</t>
    <phoneticPr fontId="3" type="noConversion"/>
  </si>
  <si>
    <t>(단위: 십억원, %)</t>
    <phoneticPr fontId="3" type="noConversion"/>
  </si>
  <si>
    <t>&gt;&gt;주요비율</t>
    <phoneticPr fontId="3" type="noConversion"/>
  </si>
  <si>
    <t>대기업</t>
    <phoneticPr fontId="3" type="noConversion"/>
  </si>
  <si>
    <t>중소기업</t>
    <phoneticPr fontId="3" type="noConversion"/>
  </si>
  <si>
    <t>가계</t>
    <phoneticPr fontId="3" type="noConversion"/>
  </si>
  <si>
    <t>공공 및 기타</t>
    <phoneticPr fontId="3" type="noConversion"/>
  </si>
  <si>
    <t>합 계</t>
    <phoneticPr fontId="3" type="noConversion"/>
  </si>
  <si>
    <t>금액</t>
  </si>
  <si>
    <t>충당금</t>
    <phoneticPr fontId="3" type="noConversion"/>
  </si>
  <si>
    <t>%</t>
    <phoneticPr fontId="3" type="noConversion"/>
  </si>
  <si>
    <t>금액</t>
    <phoneticPr fontId="3" type="noConversion"/>
  </si>
  <si>
    <t>(단위: 십억원, %)</t>
    <phoneticPr fontId="3" type="noConversion"/>
  </si>
  <si>
    <t>차주별 대손충당금 전입</t>
    <phoneticPr fontId="3" type="noConversion"/>
  </si>
  <si>
    <t xml:space="preserve"> 가계</t>
    <phoneticPr fontId="3" type="noConversion"/>
  </si>
  <si>
    <t xml:space="preserve"> 합 계</t>
    <phoneticPr fontId="3" type="noConversion"/>
  </si>
  <si>
    <t>(단위 : 십억원)</t>
  </si>
  <si>
    <t>신용카드</t>
    <phoneticPr fontId="3" type="noConversion"/>
  </si>
  <si>
    <t>대출금액</t>
    <phoneticPr fontId="3" type="noConversion"/>
  </si>
  <si>
    <t>연체금액</t>
    <phoneticPr fontId="3" type="noConversion"/>
  </si>
  <si>
    <r>
      <t xml:space="preserve">  </t>
    </r>
    <r>
      <rPr>
        <b/>
        <sz val="9"/>
        <rFont val="굴림"/>
        <family val="3"/>
        <charset val="129"/>
      </rPr>
      <t>연체비율</t>
    </r>
    <phoneticPr fontId="3" type="noConversion"/>
  </si>
  <si>
    <t>상각금액</t>
    <phoneticPr fontId="3" type="noConversion"/>
  </si>
  <si>
    <t>매각금액</t>
    <phoneticPr fontId="3" type="noConversion"/>
  </si>
  <si>
    <r>
      <t xml:space="preserve">  </t>
    </r>
    <r>
      <rPr>
        <b/>
        <sz val="9"/>
        <rFont val="굴림"/>
        <family val="3"/>
        <charset val="129"/>
      </rPr>
      <t>실질연체율</t>
    </r>
    <phoneticPr fontId="3" type="noConversion"/>
  </si>
  <si>
    <r>
      <t xml:space="preserve">*   </t>
    </r>
    <r>
      <rPr>
        <sz val="8"/>
        <rFont val="굴림"/>
        <family val="3"/>
        <charset val="129"/>
      </rPr>
      <t>총여신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금감원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보고기준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무수익여신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산정기준</t>
    </r>
    <r>
      <rPr>
        <sz val="8"/>
        <rFont val="Arial"/>
        <family val="2"/>
      </rPr>
      <t>+</t>
    </r>
    <r>
      <rPr>
        <sz val="8"/>
        <rFont val="굴림"/>
        <family val="3"/>
        <charset val="129"/>
      </rPr>
      <t>지보대지급금</t>
    </r>
    <phoneticPr fontId="3" type="noConversion"/>
  </si>
  <si>
    <t>총여신</t>
    <phoneticPr fontId="3" type="noConversion"/>
  </si>
  <si>
    <r>
      <t>부문별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연체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현황</t>
    </r>
    <phoneticPr fontId="3" type="noConversion"/>
  </si>
  <si>
    <t>농업, 임업 및 어업</t>
    <phoneticPr fontId="3" type="noConversion"/>
  </si>
  <si>
    <t>광업</t>
  </si>
  <si>
    <t>제조업</t>
  </si>
  <si>
    <t>전기, 가스, 증기 및 수도사업</t>
    <phoneticPr fontId="3" type="noConversion"/>
  </si>
  <si>
    <t>하수, 폐기물 처리, 원료재생 및 환경복원업</t>
    <phoneticPr fontId="3" type="noConversion"/>
  </si>
  <si>
    <t>건설업</t>
  </si>
  <si>
    <t>도매 및 소매업</t>
  </si>
  <si>
    <t>운수업</t>
    <phoneticPr fontId="3" type="noConversion"/>
  </si>
  <si>
    <t>숙박 및 음식점업</t>
    <phoneticPr fontId="3" type="noConversion"/>
  </si>
  <si>
    <t>출판, 영상, 방송통신 및 정보서비스업</t>
    <phoneticPr fontId="3" type="noConversion"/>
  </si>
  <si>
    <t>금융 및 보험업</t>
  </si>
  <si>
    <t>부동산업 및 임대업</t>
    <phoneticPr fontId="3" type="noConversion"/>
  </si>
  <si>
    <t>전문, 과학 및 기술서비스업</t>
    <phoneticPr fontId="3" type="noConversion"/>
  </si>
  <si>
    <t>사업시설관리 및 사업지원서비스업</t>
    <phoneticPr fontId="3" type="noConversion"/>
  </si>
  <si>
    <t>공공행정,국방 및 사회보장행정</t>
  </si>
  <si>
    <t>교육서비스업</t>
  </si>
  <si>
    <t>보건업 및 사회복지 서비스업</t>
    <phoneticPr fontId="3" type="noConversion"/>
  </si>
  <si>
    <t>예술, 스포츠 및 여가관련 서비스업</t>
    <phoneticPr fontId="3" type="noConversion"/>
  </si>
  <si>
    <t>협회 및 단체, 수리 및 기타 개인 서비스업</t>
    <phoneticPr fontId="3" type="noConversion"/>
  </si>
  <si>
    <t>가사서비스업</t>
  </si>
  <si>
    <t>국제 및 외국기관</t>
    <phoneticPr fontId="3" type="noConversion"/>
  </si>
  <si>
    <t>기업대출</t>
    <phoneticPr fontId="3" type="noConversion"/>
  </si>
  <si>
    <t>비중</t>
    <phoneticPr fontId="3" type="noConversion"/>
  </si>
  <si>
    <t>연체율</t>
    <phoneticPr fontId="3" type="noConversion"/>
  </si>
  <si>
    <r>
      <t>(단위: 십억원,</t>
    </r>
    <r>
      <rPr>
        <sz val="9"/>
        <rFont val="Arial"/>
        <family val="2"/>
      </rPr>
      <t xml:space="preserve"> %</t>
    </r>
    <r>
      <rPr>
        <sz val="9"/>
        <rFont val="굴림"/>
        <family val="3"/>
        <charset val="129"/>
      </rPr>
      <t>)</t>
    </r>
    <phoneticPr fontId="3" type="noConversion"/>
  </si>
  <si>
    <t>총여신금액</t>
    <phoneticPr fontId="3" type="noConversion"/>
  </si>
  <si>
    <t xml:space="preserve">비중 </t>
    <phoneticPr fontId="3" type="noConversion"/>
  </si>
  <si>
    <t>총연체금액</t>
    <phoneticPr fontId="3" type="noConversion"/>
  </si>
  <si>
    <t>연체비율</t>
    <phoneticPr fontId="3" type="noConversion"/>
  </si>
  <si>
    <t>제조업</t>
    <phoneticPr fontId="3" type="noConversion"/>
  </si>
  <si>
    <t>건설업</t>
    <phoneticPr fontId="3" type="noConversion"/>
  </si>
  <si>
    <t>도/소매업</t>
    <phoneticPr fontId="3" type="noConversion"/>
  </si>
  <si>
    <t>숙박/음식업</t>
    <phoneticPr fontId="3" type="noConversion"/>
  </si>
  <si>
    <t>부동산 및 임대업</t>
    <phoneticPr fontId="3" type="noConversion"/>
  </si>
  <si>
    <t>기타</t>
    <phoneticPr fontId="3" type="noConversion"/>
  </si>
  <si>
    <t>* 은행 및 신탁계정 기준</t>
    <phoneticPr fontId="3" type="noConversion"/>
  </si>
  <si>
    <t>개인</t>
    <phoneticPr fontId="3" type="noConversion"/>
  </si>
  <si>
    <t>합계</t>
    <phoneticPr fontId="3" type="noConversion"/>
  </si>
  <si>
    <t xml:space="preserve"> 기본자본계</t>
    <phoneticPr fontId="3" type="noConversion"/>
  </si>
  <si>
    <t xml:space="preserve">    자본금</t>
    <phoneticPr fontId="3" type="noConversion"/>
  </si>
  <si>
    <t xml:space="preserve">    자본잉여금</t>
    <phoneticPr fontId="3" type="noConversion"/>
  </si>
  <si>
    <t xml:space="preserve">    기타</t>
    <phoneticPr fontId="3" type="noConversion"/>
  </si>
  <si>
    <t xml:space="preserve"> 보완자본계</t>
    <phoneticPr fontId="172" type="noConversion"/>
  </si>
  <si>
    <t xml:space="preserve">    대손충당금 (정상 &amp; 요주의) </t>
    <phoneticPr fontId="172" type="noConversion"/>
  </si>
  <si>
    <t xml:space="preserve"> 자기자본계</t>
    <phoneticPr fontId="3" type="noConversion"/>
  </si>
  <si>
    <t xml:space="preserve"> 위험가중자산</t>
    <phoneticPr fontId="3" type="noConversion"/>
  </si>
  <si>
    <t xml:space="preserve">  기본자본비율</t>
    <phoneticPr fontId="3" type="noConversion"/>
  </si>
  <si>
    <r>
      <t>(</t>
    </r>
    <r>
      <rPr>
        <sz val="10"/>
        <rFont val="돋움"/>
        <family val="3"/>
        <charset val="129"/>
      </rPr>
      <t>단위: 백만원)</t>
    </r>
    <phoneticPr fontId="3" type="noConversion"/>
  </si>
  <si>
    <r>
      <rPr>
        <sz val="10"/>
        <color indexed="9"/>
        <rFont val="돋움"/>
        <family val="3"/>
        <charset val="129"/>
      </rPr>
      <t>회원수</t>
    </r>
    <r>
      <rPr>
        <sz val="10"/>
        <color indexed="9"/>
        <rFont val="Arial"/>
        <family val="2"/>
      </rPr>
      <t xml:space="preserve"> (</t>
    </r>
    <r>
      <rPr>
        <sz val="10"/>
        <color indexed="9"/>
        <rFont val="돋움"/>
        <family val="3"/>
        <charset val="129"/>
      </rPr>
      <t>천명</t>
    </r>
    <r>
      <rPr>
        <sz val="10"/>
        <color indexed="9"/>
        <rFont val="Arial"/>
        <family val="2"/>
      </rPr>
      <t>)</t>
    </r>
    <phoneticPr fontId="3" type="noConversion"/>
  </si>
  <si>
    <t>일시불</t>
    <phoneticPr fontId="3" type="noConversion"/>
  </si>
  <si>
    <t>할부</t>
    <phoneticPr fontId="3" type="noConversion"/>
  </si>
  <si>
    <t>현금서비스</t>
    <phoneticPr fontId="3" type="noConversion"/>
  </si>
  <si>
    <t>카드사용액</t>
    <phoneticPr fontId="3" type="noConversion"/>
  </si>
  <si>
    <t>신용카드자산</t>
    <phoneticPr fontId="3" type="noConversion"/>
  </si>
  <si>
    <t>신용판매</t>
    <phoneticPr fontId="3" type="noConversion"/>
  </si>
  <si>
    <t>카드론</t>
    <phoneticPr fontId="3" type="noConversion"/>
  </si>
  <si>
    <t>현금 및 현금성자산</t>
    <phoneticPr fontId="3" type="noConversion"/>
  </si>
  <si>
    <t>당기손익인식금융자산</t>
    <phoneticPr fontId="3" type="noConversion"/>
  </si>
  <si>
    <t>매도가능금융자산</t>
    <phoneticPr fontId="3" type="noConversion"/>
  </si>
  <si>
    <t>대여금 및 수취채권</t>
    <phoneticPr fontId="3" type="noConversion"/>
  </si>
  <si>
    <t>유형자산</t>
    <phoneticPr fontId="3" type="noConversion"/>
  </si>
  <si>
    <t>무형자산</t>
    <phoneticPr fontId="3" type="noConversion"/>
  </si>
  <si>
    <t>기타자산</t>
    <phoneticPr fontId="3" type="noConversion"/>
  </si>
  <si>
    <t>이연법인세자산</t>
    <phoneticPr fontId="3" type="noConversion"/>
  </si>
  <si>
    <t>자산총계</t>
    <phoneticPr fontId="3" type="noConversion"/>
  </si>
  <si>
    <t>차입부채</t>
    <phoneticPr fontId="3" type="noConversion"/>
  </si>
  <si>
    <t>발행사채</t>
    <phoneticPr fontId="3" type="noConversion"/>
  </si>
  <si>
    <t>충당부채</t>
    <phoneticPr fontId="3" type="noConversion"/>
  </si>
  <si>
    <t>기타금융부채</t>
    <phoneticPr fontId="3" type="noConversion"/>
  </si>
  <si>
    <t>기타부채</t>
    <phoneticPr fontId="3" type="noConversion"/>
  </si>
  <si>
    <t>부채총계</t>
    <phoneticPr fontId="3" type="noConversion"/>
  </si>
  <si>
    <t>자본금</t>
    <phoneticPr fontId="3" type="noConversion"/>
  </si>
  <si>
    <t>자본잉여금</t>
    <phoneticPr fontId="3" type="noConversion"/>
  </si>
  <si>
    <t>기타자본</t>
    <phoneticPr fontId="3" type="noConversion"/>
  </si>
  <si>
    <t>이익잉여금</t>
    <phoneticPr fontId="3" type="noConversion"/>
  </si>
  <si>
    <t>자본총계</t>
    <phoneticPr fontId="3" type="noConversion"/>
  </si>
  <si>
    <t>부채와 자본총계</t>
    <phoneticPr fontId="3" type="noConversion"/>
  </si>
  <si>
    <t>순이자이익</t>
    <phoneticPr fontId="3" type="noConversion"/>
  </si>
  <si>
    <t xml:space="preserve">    이자수익</t>
    <phoneticPr fontId="3" type="noConversion"/>
  </si>
  <si>
    <t>순수수료수익</t>
    <phoneticPr fontId="3" type="noConversion"/>
  </si>
  <si>
    <r>
      <t xml:space="preserve">     </t>
    </r>
    <r>
      <rPr>
        <sz val="9"/>
        <rFont val="돋움"/>
        <family val="3"/>
        <charset val="129"/>
      </rPr>
      <t>수수료수익</t>
    </r>
    <phoneticPr fontId="3" type="noConversion"/>
  </si>
  <si>
    <r>
      <t xml:space="preserve">     </t>
    </r>
    <r>
      <rPr>
        <sz val="9"/>
        <rFont val="돋움"/>
        <family val="3"/>
        <charset val="129"/>
      </rPr>
      <t>수수료비용</t>
    </r>
    <phoneticPr fontId="3" type="noConversion"/>
  </si>
  <si>
    <t>배당수익</t>
    <phoneticPr fontId="3" type="noConversion"/>
  </si>
  <si>
    <t>당기손익인식금융자산 관련손익</t>
    <phoneticPr fontId="3" type="noConversion"/>
  </si>
  <si>
    <t>매도가능금융자산 관련손익</t>
    <phoneticPr fontId="3" type="noConversion"/>
  </si>
  <si>
    <t>만기보유금융자산 관련손익</t>
    <phoneticPr fontId="3" type="noConversion"/>
  </si>
  <si>
    <t>신용손실에 대한 손상차손</t>
    <phoneticPr fontId="3" type="noConversion"/>
  </si>
  <si>
    <t>기타영업손익</t>
    <phoneticPr fontId="3" type="noConversion"/>
  </si>
  <si>
    <t>관계기업투자자산평가손익</t>
    <phoneticPr fontId="3" type="noConversion"/>
  </si>
  <si>
    <t xml:space="preserve">   기타영업외손익</t>
    <phoneticPr fontId="3" type="noConversion"/>
  </si>
  <si>
    <t>법인세비용차감전 순이익</t>
    <phoneticPr fontId="3" type="noConversion"/>
  </si>
  <si>
    <t>법인세비용</t>
    <phoneticPr fontId="3" type="noConversion"/>
  </si>
  <si>
    <t>(단위: 십억원)</t>
    <phoneticPr fontId="3" type="noConversion"/>
  </si>
  <si>
    <t>신용공여</t>
    <phoneticPr fontId="3" type="noConversion"/>
  </si>
  <si>
    <t xml:space="preserve">   총 신용공여</t>
  </si>
  <si>
    <t xml:space="preserve">    정상</t>
  </si>
  <si>
    <t xml:space="preserve">    요주의</t>
  </si>
  <si>
    <t xml:space="preserve">    고정</t>
  </si>
  <si>
    <t xml:space="preserve">    회수의문</t>
  </si>
  <si>
    <t xml:space="preserve">    추정손실</t>
  </si>
  <si>
    <t>(%)
적립율</t>
    <phoneticPr fontId="3" type="noConversion"/>
  </si>
  <si>
    <t>기     업</t>
    <phoneticPr fontId="3" type="noConversion"/>
  </si>
  <si>
    <t>가     계</t>
    <phoneticPr fontId="3" type="noConversion"/>
  </si>
  <si>
    <t>공공 및 기타</t>
    <phoneticPr fontId="3" type="noConversion"/>
  </si>
  <si>
    <r>
      <rPr>
        <sz val="9"/>
        <color indexed="9"/>
        <rFont val="돋움"/>
        <family val="3"/>
        <charset val="129"/>
      </rPr>
      <t>합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계</t>
    </r>
    <phoneticPr fontId="3" type="noConversion"/>
  </si>
  <si>
    <t>재무제표</t>
    <phoneticPr fontId="3" type="noConversion"/>
  </si>
  <si>
    <t>3) 기타</t>
    <phoneticPr fontId="3" type="noConversion"/>
  </si>
  <si>
    <t>수신 및 여신현황</t>
    <phoneticPr fontId="3" type="noConversion"/>
  </si>
  <si>
    <t>수익성 및 건전성</t>
    <phoneticPr fontId="3" type="noConversion"/>
  </si>
  <si>
    <r>
      <t xml:space="preserve">1) </t>
    </r>
    <r>
      <rPr>
        <b/>
        <sz val="11"/>
        <rFont val="돋움"/>
        <family val="3"/>
        <charset val="129"/>
      </rPr>
      <t>자본적정성</t>
    </r>
    <phoneticPr fontId="3" type="noConversion"/>
  </si>
  <si>
    <t xml:space="preserve"> 이자수익자산(A)</t>
    <phoneticPr fontId="3" type="noConversion"/>
  </si>
  <si>
    <t xml:space="preserve">     원화대출금(C)</t>
    <phoneticPr fontId="3" type="noConversion"/>
  </si>
  <si>
    <t xml:space="preserve">     외화대출금(E)</t>
    <phoneticPr fontId="3" type="noConversion"/>
  </si>
  <si>
    <t xml:space="preserve"> 이자비용부채(B)</t>
    <phoneticPr fontId="3" type="noConversion"/>
  </si>
  <si>
    <t xml:space="preserve">     원화차입금</t>
    <phoneticPr fontId="3" type="noConversion"/>
  </si>
  <si>
    <t xml:space="preserve">     외화차입금</t>
    <phoneticPr fontId="3" type="noConversion"/>
  </si>
  <si>
    <t xml:space="preserve">     원화사채</t>
    <phoneticPr fontId="3" type="noConversion"/>
  </si>
  <si>
    <t xml:space="preserve">     외화사채</t>
    <phoneticPr fontId="3" type="noConversion"/>
  </si>
  <si>
    <r>
      <t>순이자</t>
    </r>
    <r>
      <rPr>
        <sz val="9"/>
        <rFont val="Arial"/>
        <family val="2"/>
      </rPr>
      <t xml:space="preserve"> Spread(A-B)</t>
    </r>
    <phoneticPr fontId="3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</si>
  <si>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3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</si>
  <si>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3" type="noConversion"/>
  </si>
  <si>
    <t>NIM</t>
    <phoneticPr fontId="3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</si>
  <si>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3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</si>
  <si>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3" type="noConversion"/>
  </si>
  <si>
    <t>영업규모</t>
    <phoneticPr fontId="3" type="noConversion"/>
  </si>
  <si>
    <t>수익/비용</t>
    <phoneticPr fontId="3" type="noConversion"/>
  </si>
  <si>
    <t xml:space="preserve"> 예수부채</t>
    <phoneticPr fontId="3" type="noConversion"/>
  </si>
  <si>
    <t xml:space="preserve">  차입부채</t>
    <phoneticPr fontId="3" type="noConversion"/>
  </si>
  <si>
    <t>p.2</t>
    <phoneticPr fontId="3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</si>
  <si>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수신구성</t>
    </r>
    <phoneticPr fontId="3" type="noConversion"/>
  </si>
  <si>
    <t>p.3</t>
    <phoneticPr fontId="3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</si>
  <si>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차주별 총여신</t>
    </r>
    <phoneticPr fontId="3" type="noConversion"/>
  </si>
  <si>
    <t xml:space="preserve"> </t>
    <phoneticPr fontId="3" type="noConversion"/>
  </si>
  <si>
    <t>p.14</t>
    <phoneticPr fontId="3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</si>
  <si>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차주별 원화대출금</t>
    </r>
    <phoneticPr fontId="3" type="noConversion"/>
  </si>
  <si>
    <t>p.8</t>
    <phoneticPr fontId="3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</si>
  <si>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금리/대출/담보별 여신</t>
    </r>
    <phoneticPr fontId="3" type="noConversion"/>
  </si>
  <si>
    <t xml:space="preserve"> - 대기업, 중소기업</t>
    <phoneticPr fontId="3" type="noConversion"/>
  </si>
  <si>
    <t xml:space="preserve"> - 가계, 공공/기타</t>
    <phoneticPr fontId="3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</si>
  <si>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여신 만기구조</t>
    </r>
    <phoneticPr fontId="3" type="noConversion"/>
  </si>
  <si>
    <t>p.11</t>
    <phoneticPr fontId="3" type="noConversion"/>
  </si>
  <si>
    <t>은행계정</t>
    <phoneticPr fontId="3" type="noConversion"/>
  </si>
  <si>
    <t>신탁계정</t>
    <phoneticPr fontId="3" type="noConversion"/>
  </si>
  <si>
    <t xml:space="preserve">   판매관리비</t>
    <phoneticPr fontId="3" type="noConversion"/>
  </si>
  <si>
    <t xml:space="preserve">    이익잉여금 </t>
    <phoneticPr fontId="172" type="noConversion"/>
  </si>
  <si>
    <t xml:space="preserve">    (-) 공제항목</t>
    <phoneticPr fontId="172" type="noConversion"/>
  </si>
  <si>
    <t xml:space="preserve"> 보통주자본계</t>
    <phoneticPr fontId="3" type="noConversion"/>
  </si>
  <si>
    <t xml:space="preserve"> 기타기본자본계</t>
    <phoneticPr fontId="172" type="noConversion"/>
  </si>
  <si>
    <t xml:space="preserve">    연결종속회사가 발행한 자본증권에 대한 비지배주주지분</t>
    <phoneticPr fontId="3" type="noConversion"/>
  </si>
  <si>
    <t xml:space="preserve">  BIS비율</t>
    <phoneticPr fontId="3" type="noConversion"/>
  </si>
  <si>
    <t xml:space="preserve">  보통주자본비율</t>
    <phoneticPr fontId="3" type="noConversion"/>
  </si>
  <si>
    <r>
      <t xml:space="preserve">저금리성자금 </t>
    </r>
    <r>
      <rPr>
        <vertAlign val="superscript"/>
        <sz val="9"/>
        <rFont val="굴림"/>
        <family val="3"/>
        <charset val="129"/>
      </rPr>
      <t>1</t>
    </r>
    <phoneticPr fontId="3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</si>
  <si>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3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</si>
  <si>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3" type="noConversion"/>
  </si>
  <si>
    <r>
      <t xml:space="preserve">    COFIX</t>
    </r>
    <r>
      <rPr>
        <sz val="9"/>
        <rFont val="굴림"/>
        <family val="3"/>
        <charset val="129"/>
      </rPr>
      <t>연동</t>
    </r>
    <phoneticPr fontId="3" type="noConversion"/>
  </si>
  <si>
    <r>
      <t xml:space="preserve">    </t>
    </r>
    <r>
      <rPr>
        <sz val="9"/>
        <rFont val="돋움"/>
        <family val="3"/>
        <charset val="129"/>
      </rPr>
      <t>정책금리연동</t>
    </r>
    <phoneticPr fontId="3" type="noConversion"/>
  </si>
  <si>
    <t>&gt;&gt;&gt; 재무상태표</t>
    <phoneticPr fontId="3" type="noConversion"/>
  </si>
  <si>
    <t>&gt;&gt;&gt; 포괄손익계산서</t>
    <phoneticPr fontId="3" type="noConversion"/>
  </si>
  <si>
    <t>p.4</t>
    <phoneticPr fontId="3" type="noConversion"/>
  </si>
  <si>
    <t>p. 5</t>
    <phoneticPr fontId="3" type="noConversion"/>
  </si>
  <si>
    <t>p.6</t>
    <phoneticPr fontId="3" type="noConversion"/>
  </si>
  <si>
    <t>p.7</t>
    <phoneticPr fontId="3" type="noConversion"/>
  </si>
  <si>
    <t>p.9</t>
    <phoneticPr fontId="3" type="noConversion"/>
  </si>
  <si>
    <t>p.10</t>
    <phoneticPr fontId="3" type="noConversion"/>
  </si>
  <si>
    <t>p.13</t>
    <phoneticPr fontId="3" type="noConversion"/>
  </si>
  <si>
    <t>p.15</t>
    <phoneticPr fontId="3" type="noConversion"/>
  </si>
  <si>
    <t>p.16</t>
    <phoneticPr fontId="3" type="noConversion"/>
  </si>
  <si>
    <t>p.20</t>
    <phoneticPr fontId="3" type="noConversion"/>
  </si>
  <si>
    <t>금액</t>
    <phoneticPr fontId="3" type="noConversion"/>
  </si>
  <si>
    <t>우리카드 자산건전성</t>
    <phoneticPr fontId="3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</si>
  <si>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차주별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자산건전성</t>
    </r>
    <phoneticPr fontId="3" type="noConversion"/>
  </si>
  <si>
    <t xml:space="preserve"> 기업</t>
    <phoneticPr fontId="3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</si>
  <si>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자산건전성</t>
    </r>
    <phoneticPr fontId="3" type="noConversion"/>
  </si>
  <si>
    <t>BIS 비율</t>
    <phoneticPr fontId="3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</si>
  <si>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BIS </t>
    </r>
    <r>
      <rPr>
        <sz val="10"/>
        <color indexed="8"/>
        <rFont val="맑은 고딕"/>
        <family val="3"/>
        <charset val="129"/>
      </rPr>
      <t>비율</t>
    </r>
    <phoneticPr fontId="3" type="noConversion"/>
  </si>
  <si>
    <t xml:space="preserve"> 자산총계</t>
    <phoneticPr fontId="3" type="noConversion"/>
  </si>
  <si>
    <t>* 은행계정 및 신탁계정 기업자금대출의 합</t>
    <phoneticPr fontId="3" type="noConversion"/>
  </si>
  <si>
    <t>* 금융감독원 보고기준</t>
    <phoneticPr fontId="3" type="noConversion"/>
  </si>
  <si>
    <r>
      <t xml:space="preserve">*   </t>
    </r>
    <r>
      <rPr>
        <sz val="8"/>
        <rFont val="굴림"/>
        <family val="3"/>
        <charset val="129"/>
      </rPr>
      <t>대기업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중소기업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가계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은행계정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원화대출금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신탁계정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기준</t>
    </r>
    <phoneticPr fontId="3" type="noConversion"/>
  </si>
  <si>
    <t>□ 차주별 연체율</t>
    <phoneticPr fontId="3" type="noConversion"/>
  </si>
  <si>
    <t>□ SME여신의 산업별 연체</t>
    <phoneticPr fontId="3" type="noConversion"/>
  </si>
  <si>
    <t>□ 기업여신의 산업별 연체</t>
    <phoneticPr fontId="3" type="noConversion"/>
  </si>
  <si>
    <r>
      <t>(</t>
    </r>
    <r>
      <rPr>
        <sz val="9"/>
        <rFont val="돋움"/>
        <family val="3"/>
        <charset val="129"/>
      </rPr>
      <t>단위</t>
    </r>
    <r>
      <rPr>
        <sz val="9"/>
        <rFont val="Arial"/>
        <family val="2"/>
      </rPr>
      <t xml:space="preserve">: </t>
    </r>
    <r>
      <rPr>
        <sz val="9"/>
        <rFont val="돋움"/>
        <family val="3"/>
        <charset val="129"/>
      </rPr>
      <t>십억원</t>
    </r>
    <r>
      <rPr>
        <sz val="9"/>
        <rFont val="Arial"/>
        <family val="2"/>
      </rPr>
      <t>, %)</t>
    </r>
    <phoneticPr fontId="3" type="noConversion"/>
  </si>
  <si>
    <t>* 금융감독원 보고기준</t>
    <phoneticPr fontId="3" type="noConversion"/>
  </si>
  <si>
    <t>정책금리연동</t>
    <phoneticPr fontId="3" type="noConversion"/>
  </si>
  <si>
    <r>
      <t xml:space="preserve">2) </t>
    </r>
    <r>
      <rPr>
        <b/>
        <sz val="11"/>
        <rFont val="돋움"/>
        <family val="3"/>
        <charset val="129"/>
      </rPr>
      <t>신용카드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우리카드</t>
    </r>
    <r>
      <rPr>
        <b/>
        <sz val="11"/>
        <rFont val="Arial"/>
        <family val="2"/>
      </rPr>
      <t>)</t>
    </r>
    <phoneticPr fontId="3" type="noConversion"/>
  </si>
  <si>
    <t>우리카드 재무제표</t>
    <phoneticPr fontId="3" type="noConversion"/>
  </si>
  <si>
    <t>□ 재무제표</t>
    <phoneticPr fontId="3" type="noConversion"/>
  </si>
  <si>
    <r>
      <t xml:space="preserve">* Basel 3 </t>
    </r>
    <r>
      <rPr>
        <sz val="8"/>
        <rFont val="돋움"/>
        <family val="3"/>
        <charset val="129"/>
      </rPr>
      <t>기준</t>
    </r>
    <phoneticPr fontId="3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</si>
  <si>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대손충당금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전입</t>
    </r>
    <phoneticPr fontId="3" type="noConversion"/>
  </si>
  <si>
    <t xml:space="preserve">  기타부채</t>
    <phoneticPr fontId="3" type="noConversion"/>
  </si>
  <si>
    <t xml:space="preserve">      파생상품부채</t>
    <phoneticPr fontId="3" type="noConversion"/>
  </si>
  <si>
    <r>
      <t xml:space="preserve">  </t>
    </r>
    <r>
      <rPr>
        <b/>
        <sz val="9"/>
        <rFont val="HY견고딕"/>
        <family val="1"/>
        <charset val="129"/>
      </rPr>
      <t>당기순이익</t>
    </r>
    <r>
      <rPr>
        <b/>
        <vertAlign val="superscript"/>
        <sz val="9"/>
        <rFont val="Arial"/>
        <family val="2"/>
      </rPr>
      <t>1)</t>
    </r>
    <phoneticPr fontId="3" type="noConversion"/>
  </si>
  <si>
    <r>
      <t xml:space="preserve">1. </t>
    </r>
    <r>
      <rPr>
        <sz val="8"/>
        <rFont val="돋움"/>
        <family val="3"/>
        <charset val="129"/>
      </rPr>
      <t>지배기업지분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</si>
  <si>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수신구성</t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</si>
  <si>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여신구성</t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</si>
  <si>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구성비율</t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</si>
  <si>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대기업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</si>
  <si>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</si>
  <si>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가계대출금</t>
    </r>
    <r>
      <rPr>
        <b/>
        <sz val="12"/>
        <color indexed="53"/>
        <rFont val="Arial"/>
        <family val="2"/>
      </rPr>
      <t/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</si>
  <si>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공공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및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기타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</si>
  <si>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</si>
  <si>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</si>
  <si>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주택담보대출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3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</si>
  <si>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3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</si>
  <si>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3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</si>
  <si>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우리은행</t>
    </r>
    <phoneticPr fontId="3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</si>
  <si>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우리카드</t>
    </r>
    <phoneticPr fontId="3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</si>
  <si>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합</t>
    </r>
    <r>
      <rPr>
        <b/>
        <sz val="12"/>
        <color indexed="53"/>
        <rFont val="Arial"/>
        <family val="2"/>
      </rPr>
      <t xml:space="preserve">     </t>
    </r>
    <r>
      <rPr>
        <b/>
        <sz val="12"/>
        <color indexed="53"/>
        <rFont val="맑은 고딕"/>
        <family val="3"/>
        <charset val="129"/>
      </rPr>
      <t>계</t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</si>
  <si>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재무상태표</t>
    </r>
    <phoneticPr fontId="3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</si>
  <si>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손익계산서</t>
    </r>
    <phoneticPr fontId="3" type="noConversion"/>
  </si>
  <si>
    <r>
      <t xml:space="preserve">&gt;&gt;&gt; </t>
    </r>
    <r>
      <rPr>
        <b/>
        <sz val="9"/>
        <color indexed="53"/>
        <rFont val="맑은 고딕"/>
        <family val="3"/>
        <charset val="129"/>
      </rPr>
      <t>카드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자산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건전성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및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충당금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현황</t>
    </r>
    <phoneticPr fontId="3" type="noConversion"/>
  </si>
  <si>
    <r>
      <t xml:space="preserve">&gt;&gt;&gt; </t>
    </r>
    <r>
      <rPr>
        <b/>
        <sz val="9"/>
        <color indexed="53"/>
        <rFont val="맑은 고딕"/>
        <family val="3"/>
        <charset val="129"/>
      </rPr>
      <t>차주별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건전성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및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충당금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현황</t>
    </r>
    <phoneticPr fontId="3" type="noConversion"/>
  </si>
  <si>
    <t>충당금/고정이하</t>
    <phoneticPr fontId="3" type="noConversion"/>
  </si>
  <si>
    <t>4Q14</t>
    <phoneticPr fontId="3" type="noConversion"/>
  </si>
  <si>
    <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자산건전성</t>
    </r>
    <phoneticPr fontId="3" type="noConversion"/>
  </si>
  <si>
    <t xml:space="preserve">    자본조정</t>
    <phoneticPr fontId="3" type="noConversion"/>
  </si>
  <si>
    <t xml:space="preserve">    자본증권 기타자본 인정액</t>
    <phoneticPr fontId="3" type="noConversion"/>
  </si>
  <si>
    <t xml:space="preserve">    자본증권 보완자본 인정액</t>
    <phoneticPr fontId="3" type="noConversion"/>
  </si>
  <si>
    <r>
      <t xml:space="preserve">1) </t>
    </r>
    <r>
      <rPr>
        <b/>
        <sz val="11"/>
        <rFont val="돋움"/>
        <family val="3"/>
        <charset val="129"/>
      </rPr>
      <t>수신현황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3" type="noConversion"/>
  </si>
  <si>
    <r>
      <t xml:space="preserve">2) </t>
    </r>
    <r>
      <rPr>
        <b/>
        <sz val="11"/>
        <rFont val="돋움"/>
        <family val="3"/>
        <charset val="129"/>
      </rPr>
      <t>여신현황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3" type="noConversion"/>
  </si>
  <si>
    <r>
      <t xml:space="preserve">3)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3" type="noConversion"/>
  </si>
  <si>
    <r>
      <t xml:space="preserve">1) </t>
    </r>
    <r>
      <rPr>
        <b/>
        <sz val="11"/>
        <rFont val="돋움"/>
        <family val="3"/>
        <charset val="129"/>
      </rPr>
      <t>연결재무제표</t>
    </r>
    <phoneticPr fontId="3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</si>
  <si>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연결재무상태표</t>
    </r>
    <phoneticPr fontId="3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</si>
  <si>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연결손익계산서</t>
    </r>
    <phoneticPr fontId="3" type="noConversion"/>
  </si>
  <si>
    <t>연결재무상태표</t>
    <phoneticPr fontId="3" type="noConversion"/>
  </si>
  <si>
    <t>연결손익계산서</t>
    <phoneticPr fontId="3" type="noConversion"/>
  </si>
  <si>
    <t>수신구성</t>
    <phoneticPr fontId="3" type="noConversion"/>
  </si>
  <si>
    <t>자산건전성 (연결)</t>
    <phoneticPr fontId="3" type="noConversion"/>
  </si>
  <si>
    <r>
      <t xml:space="preserve">2)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연결</t>
    </r>
    <r>
      <rPr>
        <b/>
        <sz val="11"/>
        <rFont val="Arial"/>
        <family val="2"/>
      </rPr>
      <t>)</t>
    </r>
    <phoneticPr fontId="3" type="noConversion"/>
  </si>
  <si>
    <t xml:space="preserve">   일반관리비</t>
    <phoneticPr fontId="3" type="noConversion"/>
  </si>
  <si>
    <t>1Q15</t>
    <phoneticPr fontId="3" type="noConversion"/>
  </si>
  <si>
    <r>
      <t xml:space="preserve">시장성예금 </t>
    </r>
    <r>
      <rPr>
        <vertAlign val="superscript"/>
        <sz val="9"/>
        <rFont val="굴림"/>
        <family val="3"/>
        <charset val="129"/>
      </rPr>
      <t>2</t>
    </r>
    <phoneticPr fontId="3" type="noConversion"/>
  </si>
  <si>
    <t xml:space="preserve">저축성예금 </t>
    <phoneticPr fontId="3" type="noConversion"/>
  </si>
  <si>
    <t>2. CD + R P + 표지어음</t>
    <phoneticPr fontId="3" type="noConversion"/>
  </si>
  <si>
    <r>
      <t xml:space="preserve">* 1) </t>
    </r>
    <r>
      <rPr>
        <sz val="8"/>
        <rFont val="돋움"/>
        <family val="3"/>
        <charset val="129"/>
      </rPr>
      <t>우리금융지주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흡수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합병에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따라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추가된</t>
    </r>
    <r>
      <rPr>
        <sz val="8"/>
        <rFont val="Arial"/>
        <family val="2"/>
      </rPr>
      <t xml:space="preserve"> 5</t>
    </r>
    <r>
      <rPr>
        <sz val="8"/>
        <rFont val="돋움"/>
        <family val="3"/>
        <charset val="129"/>
      </rPr>
      <t>개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자회사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위험가중자산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제외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3" type="noConversion"/>
  </si>
  <si>
    <r>
      <t>NIM (</t>
    </r>
    <r>
      <rPr>
        <b/>
        <sz val="15"/>
        <color indexed="56"/>
        <rFont val="돋움"/>
        <family val="3"/>
        <charset val="129"/>
      </rPr>
      <t>은행</t>
    </r>
    <r>
      <rPr>
        <b/>
        <sz val="15"/>
        <color indexed="56"/>
        <rFont val="Arial"/>
        <family val="2"/>
      </rPr>
      <t>+</t>
    </r>
    <r>
      <rPr>
        <b/>
        <sz val="15"/>
        <color indexed="56"/>
        <rFont val="돋움"/>
        <family val="3"/>
        <charset val="129"/>
      </rPr>
      <t>카드</t>
    </r>
    <r>
      <rPr>
        <b/>
        <sz val="15"/>
        <color indexed="56"/>
        <rFont val="Arial"/>
        <family val="2"/>
      </rPr>
      <t>)</t>
    </r>
    <phoneticPr fontId="3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</si>
  <si>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3" type="noConversion"/>
  </si>
  <si>
    <r>
      <t>(단위: 십억원</t>
    </r>
    <r>
      <rPr>
        <sz val="8"/>
        <rFont val="굴림"/>
        <family val="3"/>
        <charset val="129"/>
      </rPr>
      <t>)</t>
    </r>
    <phoneticPr fontId="3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</si>
  <si>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3" type="noConversion"/>
  </si>
  <si>
    <t>NIM</t>
    <phoneticPr fontId="3" type="noConversion"/>
  </si>
  <si>
    <t>우리은행</t>
    <phoneticPr fontId="3" type="noConversion"/>
  </si>
  <si>
    <t>우리카드</t>
    <phoneticPr fontId="3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</si>
  <si>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3" type="noConversion"/>
  </si>
  <si>
    <r>
      <t>(단위: 십억원</t>
    </r>
    <r>
      <rPr>
        <sz val="8"/>
        <rFont val="굴림"/>
        <family val="3"/>
        <charset val="129"/>
      </rPr>
      <t>)</t>
    </r>
    <phoneticPr fontId="3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</si>
  <si>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3" type="noConversion"/>
  </si>
  <si>
    <t>NIM</t>
    <phoneticPr fontId="3" type="noConversion"/>
  </si>
  <si>
    <t>우리은행</t>
    <phoneticPr fontId="3" type="noConversion"/>
  </si>
  <si>
    <t>우리카드</t>
    <phoneticPr fontId="3" type="noConversion"/>
  </si>
  <si>
    <t>p.12</t>
  </si>
  <si>
    <r>
      <t xml:space="preserve">1) </t>
    </r>
    <r>
      <rPr>
        <b/>
        <sz val="11"/>
        <rFont val="돋움"/>
        <family val="3"/>
        <charset val="129"/>
      </rPr>
      <t>수익성</t>
    </r>
    <r>
      <rPr>
        <b/>
        <sz val="11"/>
        <rFont val="Arial"/>
        <family val="2"/>
      </rPr>
      <t xml:space="preserve"> </t>
    </r>
    <phoneticPr fontId="3" type="noConversion"/>
  </si>
  <si>
    <t>p.21</t>
    <phoneticPr fontId="3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</si>
  <si>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+</t>
    </r>
    <r>
      <rPr>
        <sz val="10"/>
        <color indexed="8"/>
        <rFont val="맑은 고딕"/>
        <family val="3"/>
        <charset val="129"/>
      </rPr>
      <t>카드</t>
    </r>
    <r>
      <rPr>
        <sz val="10"/>
        <color indexed="8"/>
        <rFont val="Arial"/>
        <family val="2"/>
      </rPr>
      <t>)</t>
    </r>
    <phoneticPr fontId="3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</si>
  <si>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NIM/NIS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)</t>
    </r>
    <phoneticPr fontId="3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</si>
  <si>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3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</si>
  <si>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3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</si>
  <si>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3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</si>
  <si>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3" type="noConversion"/>
  </si>
  <si>
    <t>여신 만기구조</t>
    <phoneticPr fontId="3" type="noConversion"/>
  </si>
  <si>
    <t>2Q15</t>
    <phoneticPr fontId="3" type="noConversion"/>
  </si>
  <si>
    <t xml:space="preserve">차주별 자산건전성 (은행)                       </t>
    <phoneticPr fontId="3" type="noConversion"/>
  </si>
  <si>
    <t>차주별 연체율 (은행)</t>
    <phoneticPr fontId="3" type="noConversion"/>
  </si>
  <si>
    <t>중소기업여신의 산업별 연체현황 (은행)</t>
    <phoneticPr fontId="3" type="noConversion"/>
  </si>
  <si>
    <t>기업여신의 산업별 연체현황 (은행)</t>
    <phoneticPr fontId="3" type="noConversion"/>
  </si>
  <si>
    <t>3Q15</t>
    <phoneticPr fontId="3" type="noConversion"/>
  </si>
  <si>
    <t>금액</t>
    <phoneticPr fontId="3" type="noConversion"/>
  </si>
  <si>
    <t>4Q15</t>
    <phoneticPr fontId="3" type="noConversion"/>
  </si>
  <si>
    <t>FY15</t>
    <phoneticPr fontId="3" type="noConversion"/>
  </si>
  <si>
    <t>1Q16</t>
    <phoneticPr fontId="3" type="noConversion"/>
  </si>
  <si>
    <r>
      <t xml:space="preserve">NIM / NIS </t>
    </r>
    <r>
      <rPr>
        <b/>
        <sz val="15"/>
        <color indexed="56"/>
        <rFont val="맑은 고딕"/>
        <family val="3"/>
        <charset val="129"/>
      </rPr>
      <t>(은행)</t>
    </r>
    <phoneticPr fontId="3" type="noConversion"/>
  </si>
  <si>
    <t>회사별 손익구성</t>
    <phoneticPr fontId="3" type="noConversion"/>
  </si>
  <si>
    <r>
      <rPr>
        <sz val="9"/>
        <color indexed="9"/>
        <rFont val="돋움"/>
        <family val="3"/>
        <charset val="129"/>
      </rPr>
      <t>비은행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부문</t>
    </r>
    <phoneticPr fontId="3" type="noConversion"/>
  </si>
  <si>
    <t>우리은행
(연결)</t>
    <phoneticPr fontId="3" type="noConversion"/>
  </si>
  <si>
    <t>우리종금</t>
    <phoneticPr fontId="3" type="noConversion"/>
  </si>
  <si>
    <t>순영업수익 (A=B+C)</t>
    <phoneticPr fontId="3" type="noConversion"/>
  </si>
  <si>
    <t xml:space="preserve">    이자이익 (B)</t>
    <phoneticPr fontId="3" type="noConversion"/>
  </si>
  <si>
    <t xml:space="preserve">    비이자이익 (C)</t>
    <phoneticPr fontId="3" type="noConversion"/>
  </si>
  <si>
    <t>판매관리비</t>
    <phoneticPr fontId="3" type="noConversion"/>
  </si>
  <si>
    <t>충당금적립전이익</t>
  </si>
  <si>
    <t>법인세 차감전 이익</t>
    <phoneticPr fontId="3" type="noConversion"/>
  </si>
  <si>
    <r>
      <t>당기순이익</t>
    </r>
    <r>
      <rPr>
        <b/>
        <vertAlign val="superscript"/>
        <sz val="9"/>
        <rFont val="HY견고딕"/>
        <family val="1"/>
        <charset val="129"/>
      </rPr>
      <t>1)</t>
    </r>
    <phoneticPr fontId="3" type="noConversion"/>
  </si>
  <si>
    <r>
      <t>우리은행</t>
    </r>
    <r>
      <rPr>
        <vertAlign val="superscript"/>
        <sz val="9"/>
        <color indexed="9"/>
        <rFont val="돋움"/>
        <family val="3"/>
        <charset val="129"/>
      </rPr>
      <t>2)</t>
    </r>
    <phoneticPr fontId="3" type="noConversion"/>
  </si>
  <si>
    <r>
      <t xml:space="preserve">2. </t>
    </r>
    <r>
      <rPr>
        <sz val="8"/>
        <rFont val="돋움"/>
        <family val="3"/>
        <charset val="129"/>
      </rPr>
      <t>우리은행</t>
    </r>
    <r>
      <rPr>
        <sz val="8"/>
        <rFont val="Arial"/>
        <family val="2"/>
      </rPr>
      <t>(</t>
    </r>
    <r>
      <rPr>
        <sz val="8"/>
        <rFont val="돋움"/>
        <family val="3"/>
        <charset val="129"/>
      </rPr>
      <t>별도</t>
    </r>
    <r>
      <rPr>
        <sz val="8"/>
        <rFont val="Arial"/>
        <family val="2"/>
      </rPr>
      <t xml:space="preserve">), </t>
    </r>
    <r>
      <rPr>
        <sz val="8"/>
        <rFont val="돋움"/>
        <family val="3"/>
        <charset val="129"/>
      </rPr>
      <t>해외현지법인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기타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합산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3" type="noConversion"/>
  </si>
  <si>
    <t>2Q16</t>
    <phoneticPr fontId="3" type="noConversion"/>
  </si>
  <si>
    <t>1H16</t>
    <phoneticPr fontId="3" type="noConversion"/>
  </si>
  <si>
    <t>1Q16</t>
    <phoneticPr fontId="3" type="noConversion"/>
  </si>
  <si>
    <r>
      <rPr>
        <sz val="9"/>
        <color indexed="9"/>
        <rFont val="돋움"/>
        <family val="3"/>
        <charset val="129"/>
      </rPr>
      <t>분기중</t>
    </r>
  </si>
  <si>
    <t>3Q16</t>
    <phoneticPr fontId="3" type="noConversion"/>
  </si>
  <si>
    <t>분기중</t>
    <phoneticPr fontId="3" type="noConversion"/>
  </si>
  <si>
    <t>4Q16</t>
    <phoneticPr fontId="3" type="noConversion"/>
  </si>
  <si>
    <t>FY16</t>
    <phoneticPr fontId="3" type="noConversion"/>
  </si>
  <si>
    <t>4Q16</t>
    <phoneticPr fontId="3" type="noConversion"/>
  </si>
  <si>
    <t>FY2016</t>
    <phoneticPr fontId="3" type="noConversion"/>
  </si>
  <si>
    <r>
      <t xml:space="preserve">    </t>
    </r>
    <r>
      <rPr>
        <sz val="9"/>
        <rFont val="돋움"/>
        <family val="3"/>
        <charset val="129"/>
      </rPr>
      <t>이자비용</t>
    </r>
    <phoneticPr fontId="3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</si>
  <si>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회사별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손익구성</t>
    </r>
    <phoneticPr fontId="3" type="noConversion"/>
  </si>
  <si>
    <t>1Q17</t>
    <phoneticPr fontId="3" type="noConversion"/>
  </si>
  <si>
    <t>FY16</t>
    <phoneticPr fontId="3" type="noConversion"/>
  </si>
  <si>
    <t>2Q16</t>
    <phoneticPr fontId="3" type="noConversion"/>
  </si>
  <si>
    <t>3Q16</t>
    <phoneticPr fontId="3" type="noConversion"/>
  </si>
  <si>
    <t>2Q17</t>
    <phoneticPr fontId="3" type="noConversion"/>
  </si>
  <si>
    <t>&gt;&gt;&gt; 2Q 17</t>
    <phoneticPr fontId="3" type="noConversion"/>
  </si>
  <si>
    <t>* 2017년 6월말 기준</t>
    <phoneticPr fontId="3" type="noConversion"/>
  </si>
  <si>
    <t>분기중</t>
  </si>
  <si>
    <t>1Q16</t>
    <phoneticPr fontId="3" type="noConversion"/>
  </si>
  <si>
    <t>2Q16</t>
    <phoneticPr fontId="3" type="noConversion"/>
  </si>
  <si>
    <t>3Q16</t>
    <phoneticPr fontId="3" type="noConversion"/>
  </si>
  <si>
    <t>4Q16</t>
    <phoneticPr fontId="3" type="noConversion"/>
  </si>
  <si>
    <t>FY16</t>
    <phoneticPr fontId="3" type="noConversion"/>
  </si>
  <si>
    <t>1Q17</t>
    <phoneticPr fontId="3" type="noConversion"/>
  </si>
  <si>
    <t>2Q17</t>
    <phoneticPr fontId="3" type="noConversion"/>
  </si>
  <si>
    <t>1H17</t>
    <phoneticPr fontId="3" type="noConversion"/>
  </si>
  <si>
    <t>우리카드</t>
    <phoneticPr fontId="3" type="noConversion"/>
  </si>
  <si>
    <t>우리종금</t>
    <phoneticPr fontId="3" type="noConversion"/>
  </si>
  <si>
    <t>순영업수익 (A=B+C)</t>
    <phoneticPr fontId="3" type="noConversion"/>
  </si>
  <si>
    <t xml:space="preserve">    이자이익 (B)</t>
    <phoneticPr fontId="3" type="noConversion"/>
  </si>
  <si>
    <t xml:space="preserve">    비이자이익 (C)</t>
    <phoneticPr fontId="3" type="noConversion"/>
  </si>
  <si>
    <t>판매관리비</t>
    <phoneticPr fontId="3" type="noConversion"/>
  </si>
  <si>
    <t>신용손실에 대한 손상차손</t>
    <phoneticPr fontId="3" type="noConversion"/>
  </si>
  <si>
    <t>영업이익</t>
    <phoneticPr fontId="3" type="noConversion"/>
  </si>
  <si>
    <t>영업외이익</t>
    <phoneticPr fontId="3" type="noConversion"/>
  </si>
  <si>
    <t>법인세 차감전 이익</t>
    <phoneticPr fontId="3" type="noConversion"/>
  </si>
  <si>
    <r>
      <t>당기순이익</t>
    </r>
    <r>
      <rPr>
        <b/>
        <vertAlign val="superscript"/>
        <sz val="9"/>
        <rFont val="HY견고딕"/>
        <family val="1"/>
        <charset val="129"/>
      </rPr>
      <t>1)</t>
    </r>
    <phoneticPr fontId="3" type="noConversion"/>
  </si>
  <si>
    <t>&gt;&gt;&gt; 1Q17</t>
    <phoneticPr fontId="3" type="noConversion"/>
  </si>
  <si>
    <t>&gt;&gt;&gt; 2Q17</t>
    <phoneticPr fontId="3" type="noConversion"/>
  </si>
  <si>
    <t>3Q16</t>
    <phoneticPr fontId="3" type="noConversion"/>
  </si>
  <si>
    <t>1Q16</t>
    <phoneticPr fontId="3" type="noConversion"/>
  </si>
  <si>
    <t xml:space="preserve">     (정기예금)</t>
    <phoneticPr fontId="3" type="noConversion"/>
  </si>
  <si>
    <r>
      <t xml:space="preserve">시장성예금 </t>
    </r>
    <r>
      <rPr>
        <vertAlign val="superscript"/>
        <sz val="9"/>
        <rFont val="굴림"/>
        <family val="3"/>
        <charset val="129"/>
      </rPr>
      <t>2</t>
    </r>
    <phoneticPr fontId="3" type="noConversion"/>
  </si>
  <si>
    <t xml:space="preserve">    (양도성예금증서(CD))</t>
    <phoneticPr fontId="3" type="noConversion"/>
  </si>
  <si>
    <t>`</t>
    <phoneticPr fontId="3" type="noConversion"/>
  </si>
  <si>
    <t>(단위: 십억원)</t>
    <phoneticPr fontId="3" type="noConversion"/>
  </si>
  <si>
    <t>금액</t>
    <phoneticPr fontId="3" type="noConversion"/>
  </si>
  <si>
    <t>비중</t>
    <phoneticPr fontId="3" type="noConversion"/>
  </si>
  <si>
    <r>
      <t xml:space="preserve">저금리성자금 </t>
    </r>
    <r>
      <rPr>
        <vertAlign val="superscript"/>
        <sz val="9"/>
        <rFont val="굴림"/>
        <family val="3"/>
        <charset val="129"/>
      </rPr>
      <t>1</t>
    </r>
    <phoneticPr fontId="3" type="noConversion"/>
  </si>
  <si>
    <t xml:space="preserve">저축성예금 </t>
    <phoneticPr fontId="3" type="noConversion"/>
  </si>
  <si>
    <t>2Q17</t>
    <phoneticPr fontId="3" type="noConversion"/>
  </si>
  <si>
    <t>2Q17</t>
    <phoneticPr fontId="3" type="noConversion"/>
  </si>
  <si>
    <t>1H17</t>
    <phoneticPr fontId="3" type="noConversion"/>
  </si>
  <si>
    <t>2Q15</t>
    <phoneticPr fontId="3" type="noConversion"/>
  </si>
  <si>
    <t>3Q15</t>
    <phoneticPr fontId="3" type="noConversion"/>
  </si>
  <si>
    <t>4Q15</t>
    <phoneticPr fontId="3" type="noConversion"/>
  </si>
  <si>
    <t>1Q16</t>
    <phoneticPr fontId="3" type="noConversion"/>
  </si>
  <si>
    <t>2Q16</t>
    <phoneticPr fontId="3" type="noConversion"/>
  </si>
  <si>
    <t>3Q16</t>
    <phoneticPr fontId="3" type="noConversion"/>
  </si>
  <si>
    <t>4Q16</t>
    <phoneticPr fontId="3" type="noConversion"/>
  </si>
  <si>
    <t>1Q17</t>
    <phoneticPr fontId="3" type="noConversion"/>
  </si>
  <si>
    <t>* 2017년 6월 30일 기준</t>
    <phoneticPr fontId="3" type="noConversion"/>
  </si>
  <si>
    <t>2Q17</t>
    <phoneticPr fontId="3" type="noConversion"/>
  </si>
  <si>
    <r>
      <t xml:space="preserve">* 2Q17 </t>
    </r>
    <r>
      <rPr>
        <sz val="8"/>
        <rFont val="돋움"/>
        <family val="3"/>
        <charset val="129"/>
      </rPr>
      <t>수치는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잠정치이며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세부내역은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추후에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확정되므로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미기재</t>
    </r>
    <phoneticPr fontId="3" type="noConversion"/>
  </si>
  <si>
    <t>* 2017년 6월 30일 기준</t>
    <phoneticPr fontId="3" type="noConversion"/>
  </si>
  <si>
    <t>-</t>
    <phoneticPr fontId="3" type="noConversion"/>
  </si>
  <si>
    <t>-</t>
    <phoneticPr fontId="3" type="noConversion"/>
  </si>
  <si>
    <t xml:space="preserve">1) </t>
    <phoneticPr fontId="3" type="noConversion"/>
  </si>
  <si>
    <r>
      <t>(신)충당금/고정이하</t>
    </r>
    <r>
      <rPr>
        <vertAlign val="superscript"/>
        <sz val="9"/>
        <rFont val="굴림"/>
        <family val="3"/>
        <charset val="129"/>
      </rPr>
      <t>1)</t>
    </r>
    <phoneticPr fontId="3" type="noConversion"/>
  </si>
  <si>
    <t>* 1) (신)충당금/고정이하 : (대손충당금+미수수익충당금)/고정이하</t>
    <phoneticPr fontId="3" type="noConversion"/>
  </si>
  <si>
    <t>* 2) (구)충당금/고정이하 : (대손충당금+미수수익충당금+대손준비금)/고정이하</t>
    <phoneticPr fontId="3" type="noConversion"/>
  </si>
  <si>
    <t xml:space="preserve">**  무수익여신 산정대상 여신 기준, 차주별 충당금은 미수수익충당금, 대손준비금 제외 기준 </t>
    <phoneticPr fontId="3" type="noConversion"/>
  </si>
  <si>
    <t>1) 미수수익충당금, 대손준비금 포함시 충당금/고정이하 비율 180.7%</t>
    <phoneticPr fontId="3" type="noConversion"/>
  </si>
  <si>
    <r>
      <t>((구)충당금/고정이하</t>
    </r>
    <r>
      <rPr>
        <vertAlign val="superscript"/>
        <sz val="9"/>
        <rFont val="굴림"/>
        <family val="3"/>
        <charset val="129"/>
      </rPr>
      <t>2)</t>
    </r>
    <r>
      <rPr>
        <sz val="9"/>
        <rFont val="굴림"/>
        <family val="3"/>
        <charset val="129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</si>
</sst>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9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0.0_);[Red]\(0.0\)"/>
    <numFmt numFmtId="196" formatCode="#,##0_);\(#,##0\)"/>
    <numFmt numFmtId="197" formatCode="#,##0_ "/>
    <numFmt numFmtId="198" formatCode="_-* #,##0.000_-;\-* #,##0.000_-;_-* &quot;-&quot;_-;_-@_-"/>
    <numFmt numFmtId="199" formatCode="#,##0;&quot;△&quot;#,##0"/>
    <numFmt numFmtId="200" formatCode="0.0000%"/>
    <numFmt numFmtId="201" formatCode="0.00000%"/>
    <numFmt numFmtId="202" formatCode="_ &quot;₩&quot;* #,##0_ ;_ &quot;₩&quot;* \-#,##0_ ;_ &quot;₩&quot;* &quot;-&quot;_ ;_ @_ "/>
    <numFmt numFmtId="203" formatCode="_ * #,##0_ ;_ * \-#,##0_ ;_ * &quot;-&quot;_ ;_ @_ "/>
    <numFmt numFmtId="204" formatCode="_ * #,##0.00_ ;_ * \-#,##0.00_ ;_ * &quot;-&quot;??_ ;_ @_ "/>
    <numFmt numFmtId="205" formatCode="_ &quot;₩&quot;* #,##0.00_ ;_ &quot;₩&quot;* \-#,##0.00_ ;_ &quot;₩&quot;* &quot;-&quot;??_ ;_ @_ "/>
    <numFmt numFmtId="206" formatCode="mmm\.yy"/>
    <numFmt numFmtId="207" formatCode="_(&quot;$&quot;* #,##0_);_(&quot;$&quot;* \(#,##0\);_(&quot;$&quot;* &quot;-&quot;??_);_(@_)"/>
    <numFmt numFmtId="208" formatCode="_ &quot;₩&quot;* #,##0_ ;_ &quot;₩&quot;* &quot;₩&quot;\-#,##0_ ;_ &quot;₩&quot;* &quot;-&quot;_ ;_ @_ "/>
    <numFmt numFmtId="209" formatCode="_ &quot;₩&quot;* #,##0.00_ ;_ &quot;₩&quot;* &quot;₩&quot;\-#,##0.00_ ;_ &quot;₩&quot;* &quot;-&quot;??_ ;_ @_ "/>
    <numFmt numFmtId="210" formatCode="#,##0&quot;台&quot;"/>
    <numFmt numFmtId="211" formatCode="#."/>
    <numFmt numFmtId="212" formatCode="_ &quot;₩&quot;* #,##0_ ;_ &quot;₩&quot;* &quot;₩&quot;\!\-#,##0_ ;_ &quot;₩&quot;* &quot;-&quot;_ ;_ @_ "/>
    <numFmt numFmtId="213" formatCode="&quot;₩&quot;#,##0.00;&quot;₩&quot;&quot;₩&quot;&quot;₩&quot;&quot;₩&quot;&quot;₩&quot;\!\-#,##0.00"/>
    <numFmt numFmtId="214" formatCode="&quot;₩&quot;#,##0_);&quot;₩&quot;&quot;₩&quot;\(&quot;₩&quot;#,##0&quot;₩&quot;&quot;₩&quot;\)"/>
    <numFmt numFmtId="215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6" formatCode="&quot;₩&quot;#,##0.00;&quot;₩&quot;\-#,##0.00"/>
    <numFmt numFmtId="217" formatCode="#,##0;[Red]&quot;△&quot;#,##0"/>
    <numFmt numFmtId="218" formatCode="#,##0;&quot;-&quot;#,##0"/>
    <numFmt numFmtId="219" formatCode="&quot; ￦&quot;#,##0_);&quot;(￦&quot;#,##0\);&quot; ￦&quot;\-_)"/>
    <numFmt numFmtId="220" formatCode="#,##0;[Red]\-#,##0;\-"/>
    <numFmt numFmtId="221" formatCode="###,##0;[Red]&quot;△&quot;###,##0;_-* &quot;-&quot;_-"/>
    <numFmt numFmtId="222" formatCode="#,##0\ "/>
    <numFmt numFmtId="223" formatCode="#,##0.0\ "/>
    <numFmt numFmtId="224" formatCode="\ \ \ \ \ @"/>
    <numFmt numFmtId="225" formatCode="_-&quot;$&quot;* #,##0_-;\-&quot;$&quot;* #,##0_-;_-&quot;$&quot;* &quot;-&quot;_-;_-@_-"/>
    <numFmt numFmtId="226" formatCode="_-&quot;$&quot;* #,##0.00_-;\-&quot;$&quot;* #,##0.00_-;_-&quot;$&quot;* &quot;-&quot;??_-;_-@_-"/>
    <numFmt numFmtId="227" formatCode="_ &quot;$&quot;* #,##0_ ;_ &quot;$&quot;* \-#,##0_ ;_ &quot;$&quot;* &quot;-&quot;_ ;_ @_ "/>
    <numFmt numFmtId="228" formatCode="&quot;₩&quot;#,##0;[Red]&quot;₩&quot;&quot;-&quot;#,##0"/>
    <numFmt numFmtId="229" formatCode="&quot;₩&quot;#,##0.00;[Red]&quot;₩&quot;\-#,##0.00"/>
    <numFmt numFmtId="230" formatCode="_(&quot;$&quot;* #,##0_);_(&quot;$&quot;* \(#,##0\);_(&quot;$&quot;* &quot;-&quot;_);_(@_)"/>
    <numFmt numFmtId="231" formatCode="&quot;$&quot;#,##0_);[Red]\(&quot;$&quot;#,##0\)"/>
    <numFmt numFmtId="232" formatCode="_ &quot;$&quot;* #,##0.00_ ;_ &quot;$&quot;* \-#,##0.00_ ;_ &quot;$&quot;* &quot;-&quot;??_ ;_ @_ "/>
    <numFmt numFmtId="233" formatCode="&quot;₩&quot;#,##0;[Red]&quot;₩&quot;\-#,##0"/>
    <numFmt numFmtId="234" formatCode="_(&quot;$&quot;* #,##0.00_);_(&quot;$&quot;* \(#,##0.00\);_(&quot;$&quot;* &quot;-&quot;??_);_(@_)"/>
    <numFmt numFmtId="235" formatCode="&quot;$&quot;#,##0.00_);[Red]\(&quot;$&quot;#,##0.00\)"/>
    <numFmt numFmtId="236" formatCode="#,##0;[Red]&quot;-&quot;#,##0"/>
    <numFmt numFmtId="237" formatCode="#,##0.00;[Red]&quot;-&quot;#,##0.00"/>
    <numFmt numFmtId="238" formatCode="#,##0.0_ "/>
    <numFmt numFmtId="239" formatCode="General_)"/>
    <numFmt numFmtId="240" formatCode="0.0000000%"/>
    <numFmt numFmtId="241" formatCode="_ * #,##0.0000000_ ;_ * \-#,##0.0000000_ ;_ * &quot;-&quot;_ ;_ @_ "/>
    <numFmt numFmtId="242" formatCode="&quot;₩&quot;#,##0;[Red]&quot;₩&quot;&quot;₩&quot;\-#,##0"/>
    <numFmt numFmtId="243" formatCode="&quot;₩&quot;#,##0;&quot;₩&quot;&quot;₩&quot;&quot;₩&quot;&quot;₩&quot;\-#,##0"/>
    <numFmt numFmtId="244" formatCode="_ * #,##0_ ;_ * &quot;₩&quot;\-#,##0_ ;_ * &quot;-&quot;_ ;_ @_ "/>
    <numFmt numFmtId="245" formatCode="_-[$€-2]* #,##0.00_-;\-[$€-2]* #,##0.00_-;_-[$€-2]* &quot;-&quot;??_-"/>
    <numFmt numFmtId="246" formatCode="&quot;₩&quot;#,##0.00;&quot;₩&quot;&quot;₩&quot;\-#,##0.00"/>
    <numFmt numFmtId="247" formatCode="_ * #,##0.0000_ ;_ * \-#,##0.0000_ ;_ * &quot;-&quot;_ ;_ @_ "/>
    <numFmt numFmtId="248" formatCode="#,##0\ &quot;개&quot;&quot;월&quot;&quot;분&quot;"/>
    <numFmt numFmtId="249" formatCode="#,##0\ &quot;개&quot;&quot;월&quot;"/>
    <numFmt numFmtId="250" formatCode="&quot;₩&quot;#,##0.00;[Red]&quot;₩&quot;&quot;₩&quot;\-#,##0.00"/>
    <numFmt numFmtId="251" formatCode="_ * #,##0.00_ ;_ * \-#,##0.00_ ;_ * &quot;-&quot;_ ;_ @_ "/>
    <numFmt numFmtId="252" formatCode="0.000000%"/>
    <numFmt numFmtId="253" formatCode="#,##0&quot;£&quot;_);[Red]\(#,##0&quot;£&quot;\)"/>
    <numFmt numFmtId="254" formatCode="\(0.0%\)"/>
    <numFmt numFmtId="255" formatCode="#,##0_);[Red]\(#,##0\)"/>
    <numFmt numFmtId="256" formatCode="0.00_);[Red]\(0.00\)"/>
    <numFmt numFmtId="257" formatCode="#,##0.0_ ;[Red]\-#,##0.0\ "/>
    <numFmt numFmtId="258" formatCode="#,##0_%_);\(#,##0\)_%;#,##0_%_);@_%_)"/>
    <numFmt numFmtId="259" formatCode="#,##0.00_%_);\(#,##0.00\)_%;#,##0.00_%_);@_%_)"/>
    <numFmt numFmtId="260" formatCode="&quot;$&quot;#,##0_%_);\(&quot;$&quot;#,##0\)_%;&quot;$&quot;#,##0_%_);@_%_)"/>
    <numFmt numFmtId="261" formatCode="&quot;$&quot;#,##0.00_%_);\(&quot;$&quot;#,##0.00\)_%;&quot;$&quot;#,##0.00_%_);@_%_)"/>
    <numFmt numFmtId="262" formatCode="m/d/yy_%_)"/>
    <numFmt numFmtId="263" formatCode="0_%_);\(0\)_%;0_%_);@_%_)"/>
    <numFmt numFmtId="264" formatCode="0.0\%_);\(0.0\%\);0.0\%_);@_%_)"/>
    <numFmt numFmtId="265" formatCode="&quot;$&quot;#,##0_);\(&quot;$&quot;#,##0\)"/>
    <numFmt numFmtId="266" formatCode="0.0,,,"/>
    <numFmt numFmtId="267" formatCode="&quot;₩&quot;#,##0;&quot;₩&quot;\-#,##0"/>
    <numFmt numFmtId="268" formatCode="_-* #,##0\ _F_-;\-* #,##0\ _F_-;_-* &quot;-&quot;\ _F_-;_-@_-"/>
    <numFmt numFmtId="269" formatCode="#,##0.000_ ;[Red]\-#,##0.000\ "/>
  </numFmts>
  <fonts count="312">
    <font>
      <sz val="10"/>
      <color theme="1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b/>
      <sz val="15"/>
      <color indexed="56"/>
      <name val="돋움"/>
      <family val="3"/>
      <charset val="129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12"/>
      <color indexed="53"/>
      <name val="돋움"/>
      <family val="3"/>
      <charset val="129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9"/>
      <name val="HY견고딕"/>
      <family val="1"/>
      <charset val="129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8"/>
      <name val="굴림"/>
      <family val="3"/>
      <charset val="129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9"/>
      <name val="돋움"/>
      <family val="3"/>
      <charset val="129"/>
    </font>
    <font>
      <sz val="9"/>
      <color indexed="9"/>
      <name val="돋움"/>
      <family val="3"/>
      <charset val="129"/>
    </font>
    <font>
      <sz val="9"/>
      <color indexed="9"/>
      <name val="굴림"/>
      <family val="3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9"/>
      <name val="굴림"/>
      <family val="3"/>
      <charset val="129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11"/>
      <color indexed="10"/>
      <name val="돋움"/>
      <family val="3"/>
      <charset val="129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b/>
      <sz val="8"/>
      <name val="굴림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sz val="6"/>
      <name val="굴림"/>
      <family val="3"/>
      <charset val="129"/>
    </font>
    <font>
      <b/>
      <u/>
      <sz val="14"/>
      <color indexed="9"/>
      <name val="Arial"/>
      <family val="2"/>
    </font>
    <font>
      <b/>
      <sz val="9"/>
      <name val="돋움"/>
      <family val="3"/>
      <charset val="129"/>
    </font>
    <font>
      <b/>
      <sz val="8"/>
      <name val="돋움"/>
      <family val="3"/>
      <charset val="129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name val="굴림체"/>
      <family val="3"/>
      <charset val="129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.5"/>
      <name val="돋움"/>
      <family val="3"/>
      <charset val="129"/>
    </font>
    <font>
      <sz val="9"/>
      <color indexed="12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明朝"/>
      <family val="3"/>
      <charset val="129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i/>
      <sz val="9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sz val="9"/>
      <name val="HY견고딕"/>
      <family val="1"/>
      <charset val="129"/>
    </font>
    <font>
      <b/>
      <sz val="8"/>
      <name val="HY견고딕"/>
      <family val="1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  <font>
      <b/>
      <sz val="10"/>
      <name val="돋움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9"/>
      <color indexed="8"/>
      <name val="돋움"/>
      <family val="3"/>
      <charset val="129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sz val="9"/>
      <name val="맑은 고딕"/>
      <family val="3"/>
      <charset val="129"/>
    </font>
    <font>
      <u/>
      <sz val="12"/>
      <name val="맑은 고딕"/>
      <family val="3"/>
      <charset val="129"/>
    </font>
    <font>
      <u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9"/>
      <name val="맑은 고딕"/>
      <family val="3"/>
      <charset val="129"/>
    </font>
    <font>
      <u/>
      <sz val="9"/>
      <name val="맑은 고딕"/>
      <family val="3"/>
      <charset val="129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9"/>
      <name val="굴림"/>
      <family val="3"/>
      <charset val="129"/>
    </font>
    <font>
      <b/>
      <sz val="9"/>
      <color indexed="12"/>
      <name val="Arial"/>
      <family val="2"/>
    </font>
    <font>
      <b/>
      <sz val="14"/>
      <color indexed="9"/>
      <name val="HY헤드라인M"/>
      <family val="1"/>
      <charset val="129"/>
    </font>
    <font>
      <b/>
      <sz val="15"/>
      <color indexed="56"/>
      <name val="HY헤드라인M"/>
      <family val="1"/>
      <charset val="129"/>
    </font>
    <font>
      <sz val="10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sz val="10"/>
      <color indexed="8"/>
      <name val="HY헤드라인M"/>
      <family val="1"/>
      <charset val="129"/>
    </font>
    <font>
      <b/>
      <sz val="9"/>
      <color indexed="53"/>
      <name val="맑은 고딕"/>
      <family val="3"/>
      <charset val="129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sz val="10"/>
      <color indexed="8"/>
      <name val="맑은 고딕"/>
      <family val="3"/>
      <charset val="129"/>
    </font>
    <font>
      <sz val="26"/>
      <name val="돋움"/>
      <family val="3"/>
      <charset val="129"/>
    </font>
    <font>
      <sz val="8"/>
      <color indexed="9"/>
      <name val="돋움"/>
      <family val="3"/>
      <charset val="129"/>
    </font>
    <font>
      <b/>
      <vertAlign val="superscript"/>
      <sz val="9"/>
      <name val="Arial"/>
      <family val="2"/>
    </font>
    <font>
      <b/>
      <sz val="15"/>
      <color indexed="56"/>
      <name val="맑은 고딕"/>
      <family val="3"/>
      <charset val="129"/>
    </font>
    <font>
      <sz val="12"/>
      <name val="굴림"/>
      <family val="3"/>
      <charset val="129"/>
    </font>
    <font>
      <b/>
      <i/>
      <sz val="9"/>
      <name val="HY견고딕"/>
      <family val="1"/>
      <charset val="129"/>
    </font>
    <font>
      <b/>
      <i/>
      <sz val="9"/>
      <name val="Arial"/>
      <family val="2"/>
    </font>
    <font>
      <b/>
      <vertAlign val="superscript"/>
      <sz val="9"/>
      <name val="HY견고딕"/>
      <family val="1"/>
      <charset val="129"/>
    </font>
    <font>
      <vertAlign val="superscript"/>
      <sz val="9"/>
      <color indexed="9"/>
      <name val="돋움"/>
      <family val="3"/>
      <charset val="129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Arial"/>
      <family val="2"/>
    </font>
    <font>
      <b/>
      <u/>
      <sz val="14"/>
      <color rgb="FFFF0000"/>
      <name val="돋움"/>
      <family val="3"/>
      <charset val="129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rgb="FFFF0000"/>
      <name val="돋움"/>
      <family val="3"/>
      <charset val="129"/>
    </font>
    <font>
      <sz val="8"/>
      <color theme="1"/>
      <name val="맑은 고딕"/>
      <family val="3"/>
      <charset val="129"/>
      <scheme val="minor"/>
    </font>
    <font>
      <sz val="13"/>
      <name val="바탕체"/>
      <family val="1"/>
      <charset val="129"/>
    </font>
    <font>
      <i/>
      <sz val="12"/>
      <name val="바탕체"/>
      <family val="1"/>
      <charset val="129"/>
    </font>
    <font>
      <sz val="11"/>
      <color indexed="9"/>
      <name val="돋움"/>
      <family val="3"/>
      <charset val="129"/>
    </font>
    <font>
      <sz val="11"/>
      <color indexed="16"/>
      <name val="돋움"/>
      <family val="3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8"/>
      <name val="Palatino"/>
      <family val="1"/>
    </font>
    <font>
      <b/>
      <sz val="11"/>
      <color indexed="8"/>
      <name val="돋움"/>
      <family val="3"/>
      <charset val="129"/>
    </font>
    <font>
      <sz val="7"/>
      <name val="Palatino"/>
      <family val="1"/>
    </font>
    <font>
      <sz val="11"/>
      <color indexed="17"/>
      <name val="돋움"/>
      <family val="3"/>
      <charset val="129"/>
    </font>
    <font>
      <i/>
      <sz val="14"/>
      <name val="Palatino"/>
      <family val="1"/>
    </font>
    <font>
      <b/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1"/>
      <color indexed="60"/>
      <name val="돋움"/>
      <family val="3"/>
      <charset val="129"/>
    </font>
    <font>
      <u/>
      <sz val="18"/>
      <name val="Times New Roman"/>
      <family val="1"/>
    </font>
    <font>
      <b/>
      <sz val="11"/>
      <color indexed="63"/>
      <name val="돋움"/>
      <family val="3"/>
      <charset val="129"/>
    </font>
    <font>
      <sz val="10"/>
      <color indexed="16"/>
      <name val="Helvetica-Black"/>
      <family val="2"/>
    </font>
    <font>
      <b/>
      <u/>
      <sz val="10"/>
      <name val="Arial"/>
      <family val="2"/>
    </font>
    <font>
      <sz val="10"/>
      <name val="Tms Rmn"/>
      <family val="1"/>
    </font>
    <font>
      <b/>
      <sz val="18"/>
      <color indexed="62"/>
      <name val="맑은 고딕"/>
      <family val="3"/>
      <charset val="129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11"/>
      <color indexed="10"/>
      <name val="돋움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u/>
      <sz val="10"/>
      <name val="돋움"/>
      <family val="3"/>
      <charset val="129"/>
    </font>
    <font>
      <u/>
      <sz val="9"/>
      <color indexed="36"/>
      <name val="바탕체"/>
      <family val="1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color theme="1"/>
      <name val="굴림"/>
      <family val="3"/>
      <charset val="129"/>
    </font>
  </fonts>
  <fills count="9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 style="medium">
        <color indexed="12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/>
      <bottom/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ashed">
        <color indexed="23"/>
      </right>
      <top/>
      <bottom style="medium">
        <color rgb="FF002060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/>
      <top style="thin">
        <color indexed="23"/>
      </top>
      <bottom style="medium">
        <color indexed="62"/>
      </bottom>
      <diagonal/>
    </border>
    <border>
      <left/>
      <right/>
      <top/>
      <bottom style="dashed">
        <color theme="0"/>
      </bottom>
      <diagonal/>
    </border>
    <border>
      <left/>
      <right style="dashed">
        <color indexed="62"/>
      </right>
      <top style="thin">
        <color indexed="23"/>
      </top>
      <bottom style="thin">
        <color indexed="23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thin">
        <color indexed="23"/>
      </bottom>
      <diagonal/>
    </border>
    <border>
      <left/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medium">
        <color indexed="62"/>
      </bottom>
      <diagonal/>
    </border>
    <border>
      <left/>
      <right style="hair">
        <color indexed="56"/>
      </right>
      <top style="thin">
        <color indexed="23"/>
      </top>
      <bottom style="medium">
        <color theme="3"/>
      </bottom>
      <diagonal/>
    </border>
    <border>
      <left style="hair">
        <color indexed="56"/>
      </left>
      <right/>
      <top style="thin">
        <color indexed="23"/>
      </top>
      <bottom style="medium">
        <color theme="3"/>
      </bottom>
      <diagonal/>
    </border>
    <border>
      <left/>
      <right/>
      <top style="thin">
        <color indexed="23"/>
      </top>
      <bottom style="medium">
        <color theme="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ashed">
        <color indexed="62"/>
      </left>
      <right style="dashed">
        <color indexed="62"/>
      </right>
      <top style="dashed">
        <color indexed="62"/>
      </top>
      <bottom style="thin">
        <color indexed="23"/>
      </bottom>
      <diagonal/>
    </border>
    <border>
      <left style="dashed">
        <color indexed="62"/>
      </left>
      <right/>
      <top style="dashed">
        <color indexed="62"/>
      </top>
      <bottom style="thin">
        <color indexed="23"/>
      </bottom>
      <diagonal/>
    </border>
    <border>
      <left style="dashed">
        <color indexed="62"/>
      </left>
      <right/>
      <top style="thin">
        <color indexed="23"/>
      </top>
      <bottom style="thin">
        <color indexed="23"/>
      </bottom>
      <diagonal/>
    </border>
    <border>
      <left style="dashed">
        <color indexed="62"/>
      </left>
      <right/>
      <top style="thin">
        <color indexed="23"/>
      </top>
      <bottom style="medium">
        <color indexed="62"/>
      </bottom>
      <diagonal/>
    </border>
    <border>
      <left/>
      <right style="dashed">
        <color indexed="23"/>
      </right>
      <top style="thin">
        <color indexed="23"/>
      </top>
      <bottom style="medium">
        <color auto="1"/>
      </bottom>
      <diagonal/>
    </border>
    <border>
      <left/>
      <right/>
      <top style="thin">
        <color indexed="55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ck">
        <color indexed="56"/>
      </bottom>
      <diagonal/>
    </border>
    <border>
      <left style="hair">
        <color indexed="55"/>
      </left>
      <right/>
      <top style="thin">
        <color indexed="55"/>
      </top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/>
      <top/>
      <bottom style="thick">
        <color indexed="56"/>
      </bottom>
      <diagonal/>
    </border>
    <border>
      <left style="hair">
        <color indexed="8"/>
      </left>
      <right/>
      <top style="thin">
        <color indexed="23"/>
      </top>
      <bottom/>
      <diagonal/>
    </border>
    <border>
      <left/>
      <right style="hair">
        <color indexed="8"/>
      </right>
      <top style="thin">
        <color indexed="23"/>
      </top>
      <bottom/>
      <diagonal/>
    </border>
  </borders>
  <cellStyleXfs count="3306">
    <xf numFmtId="0" fontId="0" fillId="0" borderId="0">
      <alignment vertical="center"/>
    </xf>
    <xf numFmtId="0" fontId="97" fillId="0" borderId="0" applyNumberFormat="0" applyFill="0" applyBorder="0" applyAlignment="0" applyProtection="0"/>
    <xf numFmtId="24" fontId="98" fillId="0" borderId="0" applyFont="0" applyFill="0" applyBorder="0" applyAlignment="0" applyProtection="0"/>
    <xf numFmtId="210" fontId="4" fillId="0" borderId="0" applyNumberFormat="0" applyFont="0" applyFill="0" applyBorder="0" applyAlignment="0" applyProtection="0"/>
    <xf numFmtId="21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11" fontId="99" fillId="0" borderId="0">
      <protection locked="0"/>
    </xf>
    <xf numFmtId="0" fontId="43" fillId="0" borderId="0"/>
    <xf numFmtId="0" fontId="43" fillId="0" borderId="0"/>
    <xf numFmtId="211" fontId="99" fillId="0" borderId="0">
      <protection locked="0"/>
    </xf>
    <xf numFmtId="211" fontId="99" fillId="0" borderId="0">
      <protection locked="0"/>
    </xf>
    <xf numFmtId="0" fontId="100" fillId="0" borderId="0"/>
    <xf numFmtId="211" fontId="99" fillId="0" borderId="0">
      <protection locked="0"/>
    </xf>
    <xf numFmtId="211" fontId="99" fillId="0" borderId="0">
      <protection locked="0"/>
    </xf>
    <xf numFmtId="211" fontId="99" fillId="0" borderId="0">
      <protection locked="0"/>
    </xf>
    <xf numFmtId="0" fontId="101" fillId="0" borderId="0"/>
    <xf numFmtId="0" fontId="102" fillId="0" borderId="0"/>
    <xf numFmtId="0" fontId="5" fillId="0" borderId="0"/>
    <xf numFmtId="0" fontId="5" fillId="0" borderId="0"/>
    <xf numFmtId="0" fontId="103" fillId="0" borderId="0" applyFont="0" applyFill="0" applyBorder="0" applyAlignment="0" applyProtection="0"/>
    <xf numFmtId="0" fontId="104" fillId="0" borderId="0"/>
    <xf numFmtId="0" fontId="103" fillId="0" borderId="0"/>
    <xf numFmtId="43" fontId="103" fillId="0" borderId="0" applyFont="0" applyFill="0" applyBorder="0" applyAlignment="0" applyProtection="0"/>
    <xf numFmtId="9" fontId="10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4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106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6" fillId="0" borderId="0"/>
    <xf numFmtId="0" fontId="106" fillId="0" borderId="0"/>
    <xf numFmtId="211" fontId="99" fillId="0" borderId="0">
      <protection locked="0"/>
    </xf>
    <xf numFmtId="211" fontId="99" fillId="0" borderId="0">
      <protection locked="0"/>
    </xf>
    <xf numFmtId="211" fontId="99" fillId="0" borderId="0">
      <protection locked="0"/>
    </xf>
    <xf numFmtId="211" fontId="99" fillId="0" borderId="0">
      <protection locked="0"/>
    </xf>
    <xf numFmtId="211" fontId="99" fillId="0" borderId="0">
      <protection locked="0"/>
    </xf>
    <xf numFmtId="1" fontId="107" fillId="0" borderId="1">
      <alignment horizontal="center" vertical="center"/>
    </xf>
    <xf numFmtId="211" fontId="99" fillId="0" borderId="0">
      <protection locked="0"/>
    </xf>
    <xf numFmtId="211" fontId="99" fillId="0" borderId="0">
      <protection locked="0"/>
    </xf>
    <xf numFmtId="10" fontId="89" fillId="0" borderId="0" applyFont="0" applyFill="0" applyBorder="0" applyAlignment="0" applyProtection="0"/>
    <xf numFmtId="211" fontId="99" fillId="0" borderId="0">
      <protection locked="0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9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3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1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5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108" fillId="0" borderId="2">
      <alignment vertical="center"/>
    </xf>
    <xf numFmtId="0" fontId="105" fillId="0" borderId="0" applyFont="0" applyFill="0" applyBorder="0" applyAlignment="0" applyProtection="0"/>
    <xf numFmtId="0" fontId="103" fillId="0" borderId="0" applyFont="0" applyFill="0" applyBorder="0" applyAlignment="0" applyProtection="0"/>
    <xf numFmtId="211" fontId="99" fillId="0" borderId="0">
      <protection locked="0"/>
    </xf>
    <xf numFmtId="211" fontId="99" fillId="0" borderId="0">
      <protection locked="0"/>
    </xf>
    <xf numFmtId="42" fontId="123" fillId="0" borderId="0" applyFont="0" applyFill="0" applyBorder="0" applyAlignment="0" applyProtection="0"/>
    <xf numFmtId="211" fontId="99" fillId="0" borderId="0">
      <protection locked="0"/>
    </xf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8" fontId="98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30" fontId="125" fillId="0" borderId="0" applyFont="0" applyFill="0" applyBorder="0" applyAlignment="0" applyProtection="0"/>
    <xf numFmtId="231" fontId="125" fillId="0" borderId="0" applyFont="0" applyFill="0" applyBorder="0" applyAlignment="0" applyProtection="0"/>
    <xf numFmtId="231" fontId="125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44" fontId="123" fillId="0" borderId="0" applyFont="0" applyFill="0" applyBorder="0" applyAlignment="0" applyProtection="0"/>
    <xf numFmtId="211" fontId="99" fillId="0" borderId="0">
      <protection locked="0"/>
    </xf>
    <xf numFmtId="205" fontId="89" fillId="0" borderId="0" applyFont="0" applyFill="0" applyBorder="0" applyAlignment="0" applyProtection="0"/>
    <xf numFmtId="211" fontId="99" fillId="0" borderId="0">
      <protection locked="0"/>
    </xf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28" fontId="98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29" fontId="98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4" fontId="125" fillId="0" borderId="0" applyFont="0" applyFill="0" applyBorder="0" applyAlignment="0" applyProtection="0"/>
    <xf numFmtId="235" fontId="125" fillId="0" borderId="0" applyFont="0" applyFill="0" applyBorder="0" applyAlignment="0" applyProtection="0"/>
    <xf numFmtId="235" fontId="125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0" fontId="98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211" fontId="99" fillId="0" borderId="0">
      <protection locked="0"/>
    </xf>
    <xf numFmtId="211" fontId="99" fillId="0" borderId="0">
      <protection locked="0"/>
    </xf>
    <xf numFmtId="203" fontId="89" fillId="0" borderId="0" applyFont="0" applyFill="0" applyBorder="0" applyAlignment="0" applyProtection="0"/>
    <xf numFmtId="211" fontId="99" fillId="0" borderId="0">
      <protection locked="0"/>
    </xf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38" fontId="98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41" fontId="125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11" fontId="99" fillId="0" borderId="0">
      <protection locked="0"/>
    </xf>
    <xf numFmtId="204" fontId="89" fillId="0" borderId="0" applyFont="0" applyFill="0" applyBorder="0" applyAlignment="0" applyProtection="0"/>
    <xf numFmtId="211" fontId="99" fillId="0" borderId="0">
      <protection locked="0"/>
    </xf>
    <xf numFmtId="237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40" fontId="98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3" fontId="98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43" fontId="125" fillId="0" borderId="0" applyFont="0" applyFill="0" applyBorder="0" applyAlignment="0" applyProtection="0"/>
    <xf numFmtId="40" fontId="125" fillId="0" borderId="0" applyFont="0" applyFill="0" applyBorder="0" applyAlignment="0" applyProtection="0"/>
    <xf numFmtId="40" fontId="125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38" fontId="108" fillId="0" borderId="0">
      <alignment horizontal="right"/>
      <protection locked="0"/>
    </xf>
    <xf numFmtId="198" fontId="4" fillId="0" borderId="0" applyFont="0" applyFill="0" applyBorder="0" applyAlignment="0" applyProtection="0"/>
    <xf numFmtId="0" fontId="126" fillId="0" borderId="0"/>
    <xf numFmtId="0" fontId="127" fillId="0" borderId="0"/>
    <xf numFmtId="211" fontId="99" fillId="0" borderId="0">
      <protection locked="0"/>
    </xf>
    <xf numFmtId="0" fontId="123" fillId="0" borderId="0"/>
    <xf numFmtId="0" fontId="93" fillId="0" borderId="0"/>
    <xf numFmtId="0" fontId="128" fillId="0" borderId="0"/>
    <xf numFmtId="0" fontId="89" fillId="0" borderId="0"/>
    <xf numFmtId="0" fontId="129" fillId="0" borderId="0"/>
    <xf numFmtId="0" fontId="98" fillId="0" borderId="0"/>
    <xf numFmtId="0" fontId="98" fillId="0" borderId="0"/>
    <xf numFmtId="0" fontId="89" fillId="0" borderId="0"/>
    <xf numFmtId="0" fontId="124" fillId="0" borderId="0"/>
    <xf numFmtId="0" fontId="89" fillId="0" borderId="0"/>
    <xf numFmtId="0" fontId="130" fillId="0" borderId="0"/>
    <xf numFmtId="239" fontId="106" fillId="0" borderId="0"/>
    <xf numFmtId="239" fontId="106" fillId="0" borderId="0"/>
    <xf numFmtId="0" fontId="93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31" fillId="0" borderId="0"/>
    <xf numFmtId="0" fontId="129" fillId="0" borderId="0"/>
    <xf numFmtId="0" fontId="4" fillId="0" borderId="0" applyFill="0" applyBorder="0" applyAlignment="0"/>
    <xf numFmtId="240" fontId="4" fillId="3" borderId="0" applyNumberFormat="0" applyFont="0" applyBorder="0" applyAlignment="0">
      <protection locked="0"/>
    </xf>
    <xf numFmtId="0" fontId="94" fillId="0" borderId="0"/>
    <xf numFmtId="4" fontId="112" fillId="0" borderId="0">
      <protection locked="0"/>
    </xf>
    <xf numFmtId="241" fontId="43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3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3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3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3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3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3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3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" fontId="98" fillId="0" borderId="0" applyFont="0" applyFill="0" applyBorder="0" applyAlignment="0" applyProtection="0"/>
    <xf numFmtId="206" fontId="4" fillId="0" borderId="0"/>
    <xf numFmtId="211" fontId="99" fillId="0" borderId="0">
      <protection locked="0"/>
    </xf>
    <xf numFmtId="189" fontId="4" fillId="0" borderId="0" applyFont="0" applyFill="0" applyBorder="0" applyAlignment="0" applyProtection="0"/>
    <xf numFmtId="0" fontId="132" fillId="0" borderId="0" applyNumberFormat="0" applyAlignment="0">
      <alignment horizontal="left"/>
    </xf>
    <xf numFmtId="242" fontId="115" fillId="0" borderId="0">
      <protection locked="0"/>
    </xf>
    <xf numFmtId="233" fontId="98" fillId="0" borderId="0" applyFont="0" applyFill="0" applyBorder="0" applyAlignment="0" applyProtection="0"/>
    <xf numFmtId="197" fontId="43" fillId="0" borderId="3" applyFill="0" applyBorder="0" applyAlignment="0"/>
    <xf numFmtId="197" fontId="43" fillId="0" borderId="3" applyFill="0" applyBorder="0" applyAlignment="0"/>
    <xf numFmtId="197" fontId="43" fillId="0" borderId="3" applyFill="0" applyBorder="0" applyAlignment="0"/>
    <xf numFmtId="197" fontId="43" fillId="0" borderId="3" applyFill="0" applyBorder="0" applyAlignment="0"/>
    <xf numFmtId="197" fontId="43" fillId="0" borderId="3" applyFill="0" applyBorder="0" applyAlignment="0"/>
    <xf numFmtId="197" fontId="43" fillId="0" borderId="3" applyFill="0" applyBorder="0" applyAlignment="0"/>
    <xf numFmtId="197" fontId="43" fillId="0" borderId="3" applyFill="0" applyBorder="0" applyAlignment="0"/>
    <xf numFmtId="211" fontId="99" fillId="0" borderId="0">
      <protection locked="0"/>
    </xf>
    <xf numFmtId="243" fontId="4" fillId="0" borderId="0" applyFont="0" applyFill="0" applyBorder="0" applyAlignment="0" applyProtection="0"/>
    <xf numFmtId="20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4" fontId="115" fillId="0" borderId="0">
      <protection locked="0"/>
    </xf>
    <xf numFmtId="209" fontId="4" fillId="0" borderId="0"/>
    <xf numFmtId="230" fontId="133" fillId="0" borderId="0" applyFill="0" applyBorder="0" applyAlignment="0" applyProtection="0"/>
    <xf numFmtId="0" fontId="134" fillId="0" borderId="0" applyNumberFormat="0" applyAlignment="0">
      <alignment horizontal="left"/>
    </xf>
    <xf numFmtId="245" fontId="4" fillId="0" borderId="0" applyFont="0" applyFill="0" applyBorder="0" applyAlignment="0" applyProtection="0"/>
    <xf numFmtId="246" fontId="115" fillId="0" borderId="0">
      <protection locked="0"/>
    </xf>
    <xf numFmtId="0" fontId="135" fillId="0" borderId="0" applyNumberFormat="0" applyFill="0" applyBorder="0" applyAlignment="0" applyProtection="0"/>
    <xf numFmtId="38" fontId="31" fillId="2" borderId="0" applyNumberFormat="0" applyBorder="0" applyAlignment="0" applyProtection="0"/>
    <xf numFmtId="38" fontId="31" fillId="4" borderId="0" applyNumberFormat="0" applyBorder="0" applyAlignment="0" applyProtection="0"/>
    <xf numFmtId="0" fontId="95" fillId="0" borderId="0">
      <alignment horizontal="left"/>
    </xf>
    <xf numFmtId="0" fontId="16" fillId="0" borderId="4" applyNumberFormat="0" applyAlignment="0" applyProtection="0">
      <alignment horizontal="left" vertical="center"/>
    </xf>
    <xf numFmtId="0" fontId="16" fillId="0" borderId="5">
      <alignment horizontal="left" vertical="center"/>
    </xf>
    <xf numFmtId="0" fontId="16" fillId="0" borderId="5">
      <alignment horizontal="left" vertical="center"/>
    </xf>
    <xf numFmtId="0" fontId="16" fillId="0" borderId="5">
      <alignment horizontal="left" vertical="center"/>
    </xf>
    <xf numFmtId="0" fontId="16" fillId="0" borderId="5">
      <alignment horizontal="left" vertical="center"/>
    </xf>
    <xf numFmtId="0" fontId="16" fillId="0" borderId="5">
      <alignment horizontal="left" vertical="center"/>
    </xf>
    <xf numFmtId="0" fontId="16" fillId="0" borderId="5">
      <alignment horizontal="left" vertical="center"/>
    </xf>
    <xf numFmtId="0" fontId="16" fillId="0" borderId="5">
      <alignment horizontal="left" vertical="center"/>
    </xf>
    <xf numFmtId="14" fontId="73" fillId="5" borderId="2">
      <alignment horizontal="center" vertical="center" wrapText="1"/>
    </xf>
    <xf numFmtId="0" fontId="1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08" fontId="115" fillId="0" borderId="0">
      <protection locked="0"/>
    </xf>
    <xf numFmtId="208" fontId="115" fillId="0" borderId="0">
      <protection locked="0"/>
    </xf>
    <xf numFmtId="0" fontId="137" fillId="0" borderId="6" applyNumberFormat="0" applyFill="0" applyBorder="0" applyAlignment="0" applyProtection="0">
      <alignment horizontal="left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6" borderId="7" applyNumberFormat="0" applyFont="0" applyBorder="0" applyAlignment="0">
      <alignment horizontal="center"/>
      <protection locked="0"/>
    </xf>
    <xf numFmtId="10" fontId="31" fillId="7" borderId="3" applyNumberFormat="0" applyBorder="0" applyAlignment="0" applyProtection="0"/>
    <xf numFmtId="10" fontId="31" fillId="4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0" fontId="140" fillId="0" borderId="0" applyNumberFormat="0" applyFill="0" applyBorder="0" applyAlignment="0">
      <protection locked="0"/>
    </xf>
    <xf numFmtId="0" fontId="141" fillId="0" borderId="0" applyNumberFormat="0" applyFont="0" applyFill="0" applyBorder="0" applyProtection="0">
      <alignment horizontal="left" vertical="center"/>
    </xf>
    <xf numFmtId="38" fontId="142" fillId="8" borderId="0">
      <alignment horizontal="left" indent="1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4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43" fillId="4" borderId="8">
      <alignment horizontal="left" vertical="top" indent="2"/>
    </xf>
    <xf numFmtId="0" fontId="96" fillId="0" borderId="2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4" fillId="0" borderId="0" applyFont="0" applyFill="0" applyBorder="0" applyAlignment="0" applyProtection="0"/>
    <xf numFmtId="24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37" fontId="144" fillId="0" borderId="0"/>
    <xf numFmtId="0" fontId="43" fillId="0" borderId="0"/>
    <xf numFmtId="207" fontId="43" fillId="0" borderId="0"/>
    <xf numFmtId="179" fontId="43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211" fontId="99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146" fillId="4" borderId="0">
      <alignment horizontal="right"/>
    </xf>
    <xf numFmtId="0" fontId="147" fillId="4" borderId="0">
      <alignment horizontal="right"/>
    </xf>
    <xf numFmtId="0" fontId="148" fillId="4" borderId="9"/>
    <xf numFmtId="0" fontId="148" fillId="0" borderId="0" applyBorder="0">
      <alignment horizontal="centerContinuous"/>
    </xf>
    <xf numFmtId="0" fontId="149" fillId="0" borderId="0" applyBorder="0">
      <alignment horizontal="centerContinuous"/>
    </xf>
    <xf numFmtId="0" fontId="150" fillId="4" borderId="0"/>
    <xf numFmtId="0" fontId="151" fillId="4" borderId="2"/>
    <xf numFmtId="236" fontId="107" fillId="0" borderId="0"/>
    <xf numFmtId="250" fontId="115" fillId="0" borderId="0">
      <protection locked="0"/>
    </xf>
    <xf numFmtId="251" fontId="115" fillId="0" borderId="0" applyFont="0" applyFill="0" applyBorder="0" applyAlignment="0" applyProtection="0"/>
    <xf numFmtId="10" fontId="5" fillId="0" borderId="0" applyFont="0" applyFill="0" applyBorder="0" applyAlignment="0" applyProtection="0"/>
    <xf numFmtId="250" fontId="115" fillId="0" borderId="0">
      <protection locked="0"/>
    </xf>
    <xf numFmtId="252" fontId="4" fillId="0" borderId="0" applyFont="0" applyFill="0" applyBorder="0" applyAlignment="0" applyProtection="0"/>
    <xf numFmtId="253" fontId="5" fillId="0" borderId="0" applyNumberFormat="0" applyFill="0" applyBorder="0" applyAlignment="0" applyProtection="0">
      <alignment horizontal="left"/>
    </xf>
    <xf numFmtId="0" fontId="43" fillId="0" borderId="0"/>
    <xf numFmtId="0" fontId="5" fillId="0" borderId="0"/>
    <xf numFmtId="230" fontId="152" fillId="0" borderId="0" applyFill="0" applyBorder="0" applyAlignment="0" applyProtection="0"/>
    <xf numFmtId="0" fontId="96" fillId="0" borderId="0"/>
    <xf numFmtId="40" fontId="153" fillId="0" borderId="0" applyBorder="0">
      <alignment horizontal="right"/>
    </xf>
    <xf numFmtId="0" fontId="70" fillId="0" borderId="0" applyFill="0" applyBorder="0" applyProtection="0">
      <alignment horizontal="left" vertical="top"/>
    </xf>
    <xf numFmtId="0" fontId="141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40" fontId="154" fillId="0" borderId="0"/>
    <xf numFmtId="208" fontId="115" fillId="0" borderId="10">
      <protection locked="0"/>
    </xf>
    <xf numFmtId="0" fontId="125" fillId="0" borderId="0" applyNumberFormat="0" applyFont="0" applyFill="0" applyBorder="0" applyProtection="0">
      <alignment horizontal="center" vertical="center" wrapText="1"/>
    </xf>
    <xf numFmtId="254" fontId="4" fillId="0" borderId="0" applyFont="0" applyFill="0" applyBorder="0" applyAlignment="0" applyProtection="0"/>
    <xf numFmtId="0" fontId="155" fillId="0" borderId="0"/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197" fontId="109" fillId="4" borderId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5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0" fontId="224" fillId="37" borderId="121" applyNumberFormat="0" applyAlignment="0" applyProtection="0">
      <alignment vertical="center"/>
    </xf>
    <xf numFmtId="213" fontId="57" fillId="0" borderId="0">
      <protection locked="0"/>
    </xf>
    <xf numFmtId="0" fontId="110" fillId="0" borderId="0">
      <protection locked="0"/>
    </xf>
    <xf numFmtId="0" fontId="110" fillId="0" borderId="0">
      <protection locked="0"/>
    </xf>
    <xf numFmtId="214" fontId="106" fillId="0" borderId="0"/>
    <xf numFmtId="214" fontId="106" fillId="0" borderId="0"/>
    <xf numFmtId="214" fontId="106" fillId="0" borderId="0"/>
    <xf numFmtId="214" fontId="106" fillId="0" borderId="0"/>
    <xf numFmtId="214" fontId="106" fillId="0" borderId="0"/>
    <xf numFmtId="214" fontId="106" fillId="0" borderId="0"/>
    <xf numFmtId="214" fontId="106" fillId="0" borderId="0"/>
    <xf numFmtId="214" fontId="106" fillId="0" borderId="0"/>
    <xf numFmtId="214" fontId="106" fillId="0" borderId="0"/>
    <xf numFmtId="214" fontId="106" fillId="0" borderId="0"/>
    <xf numFmtId="214" fontId="106" fillId="0" borderId="0"/>
    <xf numFmtId="0" fontId="111" fillId="0" borderId="0"/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7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226" fillId="38" borderId="0" applyNumberFormat="0" applyBorder="0" applyAlignment="0" applyProtection="0">
      <alignment vertical="center"/>
    </xf>
    <xf numFmtId="0" fontId="112" fillId="0" borderId="0">
      <protection locked="0"/>
    </xf>
    <xf numFmtId="1" fontId="113" fillId="0" borderId="3" applyFill="0" applyBorder="0">
      <alignment horizontal="center"/>
    </xf>
    <xf numFmtId="1" fontId="113" fillId="0" borderId="3" applyFill="0" applyBorder="0">
      <alignment horizontal="center"/>
    </xf>
    <xf numFmtId="1" fontId="113" fillId="0" borderId="3" applyFill="0" applyBorder="0">
      <alignment horizontal="center"/>
    </xf>
    <xf numFmtId="1" fontId="113" fillId="0" borderId="3" applyFill="0" applyBorder="0">
      <alignment horizontal="center"/>
    </xf>
    <xf numFmtId="1" fontId="113" fillId="0" borderId="3" applyFill="0" applyBorder="0">
      <alignment horizontal="center"/>
    </xf>
    <xf numFmtId="1" fontId="113" fillId="0" borderId="3" applyFill="0" applyBorder="0">
      <alignment horizontal="center"/>
    </xf>
    <xf numFmtId="1" fontId="113" fillId="0" borderId="3" applyFill="0" applyBorder="0">
      <alignment horizontal="center"/>
    </xf>
    <xf numFmtId="0" fontId="112" fillId="0" borderId="0">
      <protection locked="0"/>
    </xf>
    <xf numFmtId="211" fontId="99" fillId="0" borderId="0">
      <protection locked="0"/>
    </xf>
    <xf numFmtId="211" fontId="99" fillId="0" borderId="0">
      <protection locked="0"/>
    </xf>
    <xf numFmtId="40" fontId="114" fillId="0" borderId="0" applyFont="0" applyFill="0" applyBorder="0" applyAlignment="0" applyProtection="0"/>
    <xf numFmtId="38" fontId="114" fillId="0" borderId="0" applyFont="0" applyFill="0" applyBorder="0" applyAlignment="0" applyProtection="0"/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18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18" fillId="39" borderId="122" applyNumberFormat="0" applyFont="0" applyAlignment="0" applyProtection="0">
      <alignment vertical="center"/>
    </xf>
    <xf numFmtId="0" fontId="157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0" fontId="2" fillId="39" borderId="122" applyNumberFormat="0" applyFont="0" applyAlignment="0" applyProtection="0">
      <alignment vertical="center"/>
    </xf>
    <xf numFmtId="215" fontId="43" fillId="0" borderId="0">
      <alignment vertical="center"/>
    </xf>
    <xf numFmtId="0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9" fontId="8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06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219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9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228" fillId="40" borderId="0" applyNumberFormat="0" applyBorder="0" applyAlignment="0" applyProtection="0">
      <alignment vertical="center"/>
    </xf>
    <xf numFmtId="0" fontId="92" fillId="0" borderId="0"/>
    <xf numFmtId="211" fontId="99" fillId="0" borderId="0">
      <protection locked="0"/>
    </xf>
    <xf numFmtId="0" fontId="43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3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0" fontId="232" fillId="41" borderId="123" applyNumberFormat="0" applyAlignment="0" applyProtection="0">
      <alignment vertical="center"/>
    </xf>
    <xf numFmtId="197" fontId="13" fillId="4" borderId="3">
      <alignment horizontal="right" vertical="center"/>
      <protection locked="0"/>
    </xf>
    <xf numFmtId="197" fontId="13" fillId="4" borderId="3">
      <alignment horizontal="right" vertical="center"/>
      <protection locked="0"/>
    </xf>
    <xf numFmtId="197" fontId="13" fillId="4" borderId="3">
      <alignment horizontal="right" vertical="center"/>
      <protection locked="0"/>
    </xf>
    <xf numFmtId="197" fontId="13" fillId="4" borderId="3">
      <alignment horizontal="right" vertical="center"/>
      <protection locked="0"/>
    </xf>
    <xf numFmtId="197" fontId="13" fillId="4" borderId="3">
      <alignment horizontal="right" vertical="center"/>
      <protection locked="0"/>
    </xf>
    <xf numFmtId="197" fontId="13" fillId="4" borderId="3">
      <alignment horizontal="right" vertical="center"/>
      <protection locked="0"/>
    </xf>
    <xf numFmtId="197" fontId="13" fillId="4" borderId="3">
      <alignment horizontal="right" vertical="center"/>
      <protection locked="0"/>
    </xf>
    <xf numFmtId="41" fontId="8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0" fontId="43" fillId="0" borderId="0" applyFont="0" applyFill="0" applyBorder="0" applyAlignment="0" applyProtection="0"/>
    <xf numFmtId="197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221" fontId="116" fillId="0" borderId="0" applyFont="0" applyFill="0" applyBorder="0" applyProtection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  <xf numFmtId="38" fontId="87" fillId="2" borderId="11">
      <alignment horizontal="center" vertical="center"/>
    </xf>
    <xf numFmtId="0" fontId="5" fillId="0" borderId="0"/>
    <xf numFmtId="212" fontId="4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4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4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43" fillId="0" borderId="0" applyFont="0" applyFill="0" applyBorder="0" applyAlignment="0" applyProtection="0"/>
    <xf numFmtId="212" fontId="43" fillId="0" borderId="0" applyFont="0" applyFill="0" applyBorder="0" applyAlignment="0" applyProtection="0"/>
    <xf numFmtId="212" fontId="43" fillId="0" borderId="0" applyFont="0" applyFill="0" applyBorder="0" applyAlignment="0" applyProtection="0"/>
    <xf numFmtId="212" fontId="4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43" fillId="0" borderId="0" applyFont="0" applyFill="0" applyBorder="0" applyAlignment="0" applyProtection="0"/>
    <xf numFmtId="212" fontId="43" fillId="0" borderId="0" applyFont="0" applyFill="0" applyBorder="0" applyAlignment="0" applyProtection="0"/>
    <xf numFmtId="212" fontId="43" fillId="0" borderId="0" applyFont="0" applyFill="0" applyBorder="0" applyAlignment="0" applyProtection="0"/>
    <xf numFmtId="212" fontId="4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212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212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212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212" fontId="43" fillId="0" borderId="0" applyFont="0" applyFill="0" applyBorder="0" applyAlignment="0" applyProtection="0"/>
    <xf numFmtId="212" fontId="43" fillId="0" borderId="0" applyFont="0" applyFill="0" applyBorder="0" applyAlignment="0" applyProtection="0"/>
    <xf numFmtId="212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217" fontId="43" fillId="0" borderId="9"/>
    <xf numFmtId="0" fontId="117" fillId="0" borderId="12"/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5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4" fillId="0" borderId="124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7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0" fontId="236" fillId="0" borderId="125" applyNumberFormat="0" applyFill="0" applyAlignment="0" applyProtection="0">
      <alignment vertical="center"/>
    </xf>
    <xf numFmtId="218" fontId="118" fillId="0" borderId="0" applyFont="0" applyFill="0" applyBorder="0" applyAlignment="0" applyProtection="0"/>
    <xf numFmtId="180" fontId="116" fillId="0" borderId="0" applyFont="0" applyFill="0" applyBorder="0" applyAlignment="0" applyProtection="0"/>
    <xf numFmtId="219" fontId="119" fillId="0" borderId="0" applyFill="0" applyBorder="0" applyProtection="0">
      <alignment horizontal="right"/>
    </xf>
    <xf numFmtId="0" fontId="107" fillId="0" borderId="13">
      <alignment vertical="justify" wrapText="1"/>
    </xf>
    <xf numFmtId="0" fontId="119" fillId="0" borderId="0"/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9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0" fontId="238" fillId="42" borderId="121" applyNumberFormat="0" applyAlignment="0" applyProtection="0">
      <alignment vertical="center"/>
    </xf>
    <xf numFmtId="4" fontId="120" fillId="0" borderId="0" applyFont="0" applyFill="0" applyBorder="0" applyAlignment="0" applyProtection="0"/>
    <xf numFmtId="3" fontId="120" fillId="0" borderId="0" applyFont="0" applyFill="0" applyBorder="0" applyAlignment="0" applyProtection="0"/>
    <xf numFmtId="0" fontId="240" fillId="0" borderId="0" applyNumberFormat="0" applyFill="0" applyBorder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2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1" fillId="0" borderId="126" applyNumberFormat="0" applyFill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4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3" fillId="0" borderId="127" applyNumberFormat="0" applyFill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6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128" applyNumberFormat="0" applyFill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215" fontId="43" fillId="0" borderId="0">
      <alignment vertical="center"/>
    </xf>
    <xf numFmtId="215" fontId="43" fillId="0" borderId="0">
      <alignment vertical="center"/>
    </xf>
    <xf numFmtId="220" fontId="5" fillId="0" borderId="0" applyFill="0" applyBorder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8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247" fillId="43" borderId="0" applyNumberFormat="0" applyBorder="0" applyAlignment="0" applyProtection="0">
      <alignment vertical="center"/>
    </xf>
    <xf numFmtId="0" fontId="43" fillId="0" borderId="0"/>
    <xf numFmtId="0" fontId="101" fillId="0" borderId="0"/>
    <xf numFmtId="41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221" fontId="116" fillId="0" borderId="0" applyFont="0" applyFill="0" applyBorder="0" applyProtection="0">
      <alignment horizontal="right"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50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249" fillId="37" borderId="129" applyNumberFormat="0" applyAlignment="0" applyProtection="0">
      <alignment vertical="center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204" fontId="43" fillId="0" borderId="0" applyFont="0" applyFill="0" applyBorder="0" applyAlignment="0" applyProtection="0"/>
    <xf numFmtId="212" fontId="43" fillId="0" borderId="0" applyFont="0" applyFill="0" applyBorder="0" applyAlignment="0" applyProtection="0"/>
    <xf numFmtId="222" fontId="90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223" fontId="90" fillId="0" borderId="0" applyFont="0" applyFill="0" applyBorder="0" applyAlignment="0" applyProtection="0"/>
    <xf numFmtId="0" fontId="91" fillId="9" borderId="14"/>
    <xf numFmtId="9" fontId="120" fillId="0" borderId="0" applyFont="0" applyFill="0" applyBorder="0" applyAlignment="0" applyProtection="0"/>
    <xf numFmtId="224" fontId="43" fillId="0" borderId="9"/>
    <xf numFmtId="0" fontId="218" fillId="0" borderId="0">
      <alignment vertical="center"/>
    </xf>
    <xf numFmtId="0" fontId="212" fillId="0" borderId="0"/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4" fillId="0" borderId="0"/>
    <xf numFmtId="0" fontId="4" fillId="0" borderId="0">
      <alignment vertical="center"/>
    </xf>
    <xf numFmtId="0" fontId="4" fillId="0" borderId="0"/>
    <xf numFmtId="0" fontId="4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4" fillId="0" borderId="0">
      <alignment vertical="center"/>
    </xf>
    <xf numFmtId="0" fontId="218" fillId="0" borderId="0">
      <alignment vertical="center"/>
    </xf>
    <xf numFmtId="0" fontId="4" fillId="0" borderId="0">
      <alignment vertical="center"/>
    </xf>
    <xf numFmtId="0" fontId="212" fillId="0" borderId="0"/>
    <xf numFmtId="0" fontId="212" fillId="0" borderId="0"/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8" fillId="0" borderId="0">
      <alignment vertical="center"/>
    </xf>
    <xf numFmtId="0" fontId="251" fillId="0" borderId="0">
      <alignment vertical="center"/>
    </xf>
    <xf numFmtId="0" fontId="251" fillId="0" borderId="0">
      <alignment vertical="center"/>
    </xf>
    <xf numFmtId="0" fontId="43" fillId="0" borderId="0"/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43" fillId="0" borderId="0"/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218" fillId="0" borderId="0">
      <alignment vertical="center"/>
    </xf>
    <xf numFmtId="0" fontId="212" fillId="0" borderId="0"/>
    <xf numFmtId="0" fontId="212" fillId="0" borderId="0"/>
    <xf numFmtId="0" fontId="218" fillId="0" borderId="0">
      <alignment vertical="center"/>
    </xf>
    <xf numFmtId="0" fontId="121" fillId="0" borderId="0"/>
    <xf numFmtId="0" fontId="4" fillId="0" borderId="0"/>
    <xf numFmtId="0" fontId="4" fillId="0" borderId="0"/>
    <xf numFmtId="0" fontId="43" fillId="0" borderId="0"/>
    <xf numFmtId="38" fontId="5" fillId="4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2" fillId="0" borderId="15">
      <protection locked="0"/>
    </xf>
    <xf numFmtId="40" fontId="122" fillId="0" borderId="0" applyFont="0" applyFill="0" applyBorder="0" applyAlignment="0" applyProtection="0"/>
    <xf numFmtId="38" fontId="122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225" fontId="119" fillId="0" borderId="0" applyFont="0" applyFill="0" applyBorder="0" applyAlignment="0" applyProtection="0"/>
    <xf numFmtId="226" fontId="119" fillId="0" borderId="0" applyFont="0" applyFill="0" applyBorder="0" applyAlignment="0" applyProtection="0"/>
    <xf numFmtId="0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197" fontId="109" fillId="0" borderId="0">
      <alignment horizontal="right" vertical="center"/>
    </xf>
    <xf numFmtId="0" fontId="43" fillId="0" borderId="0"/>
    <xf numFmtId="0" fontId="266" fillId="0" borderId="0"/>
    <xf numFmtId="0" fontId="43" fillId="0" borderId="0"/>
    <xf numFmtId="0" fontId="43" fillId="0" borderId="0"/>
    <xf numFmtId="0" fontId="266" fillId="0" borderId="0"/>
    <xf numFmtId="0" fontId="266" fillId="0" borderId="0"/>
    <xf numFmtId="0" fontId="43" fillId="0" borderId="0"/>
    <xf numFmtId="0" fontId="266" fillId="0" borderId="0"/>
    <xf numFmtId="0" fontId="43" fillId="0" borderId="0"/>
    <xf numFmtId="0" fontId="89" fillId="0" borderId="0"/>
    <xf numFmtId="0" fontId="26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43" fillId="0" borderId="0"/>
    <xf numFmtId="0" fontId="266" fillId="0" borderId="0"/>
    <xf numFmtId="0" fontId="89" fillId="0" borderId="0"/>
    <xf numFmtId="0" fontId="266" fillId="0" borderId="0"/>
    <xf numFmtId="0" fontId="26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66" fillId="0" borderId="0"/>
    <xf numFmtId="0" fontId="89" fillId="0" borderId="0"/>
    <xf numFmtId="0" fontId="43" fillId="0" borderId="0"/>
    <xf numFmtId="0" fontId="267" fillId="0" borderId="0" applyNumberFormat="0" applyFill="0" applyBorder="0" applyAlignment="0" applyProtection="0"/>
    <xf numFmtId="0" fontId="266" fillId="0" borderId="0"/>
    <xf numFmtId="0" fontId="138" fillId="0" borderId="0" applyNumberFormat="0" applyFill="0" applyBorder="0" applyAlignment="0" applyProtection="0">
      <alignment vertical="top"/>
      <protection locked="0"/>
    </xf>
    <xf numFmtId="228" fontId="98" fillId="0" borderId="0" applyFont="0" applyFill="0" applyBorder="0" applyAlignment="0" applyProtection="0"/>
    <xf numFmtId="0" fontId="43" fillId="0" borderId="0"/>
    <xf numFmtId="40" fontId="98" fillId="0" borderId="0" applyFont="0" applyFill="0" applyBorder="0" applyAlignment="0" applyProtection="0"/>
    <xf numFmtId="0" fontId="5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266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266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268" fillId="48" borderId="0" applyNumberFormat="0" applyBorder="0" applyAlignment="0" applyProtection="0"/>
    <xf numFmtId="0" fontId="157" fillId="49" borderId="0" applyNumberFormat="0" applyBorder="0" applyAlignment="0" applyProtection="0"/>
    <xf numFmtId="0" fontId="157" fillId="49" borderId="0" applyNumberFormat="0" applyBorder="0" applyAlignment="0" applyProtection="0"/>
    <xf numFmtId="0" fontId="268" fillId="50" borderId="0" applyNumberFormat="0" applyBorder="0" applyAlignment="0" applyProtection="0"/>
    <xf numFmtId="0" fontId="268" fillId="51" borderId="0" applyNumberFormat="0" applyBorder="0" applyAlignment="0" applyProtection="0"/>
    <xf numFmtId="0" fontId="157" fillId="52" borderId="0" applyNumberFormat="0" applyBorder="0" applyAlignment="0" applyProtection="0"/>
    <xf numFmtId="0" fontId="157" fillId="53" borderId="0" applyNumberFormat="0" applyBorder="0" applyAlignment="0" applyProtection="0"/>
    <xf numFmtId="0" fontId="268" fillId="54" borderId="0" applyNumberFormat="0" applyBorder="0" applyAlignment="0" applyProtection="0"/>
    <xf numFmtId="0" fontId="268" fillId="54" borderId="0" applyNumberFormat="0" applyBorder="0" applyAlignment="0" applyProtection="0"/>
    <xf numFmtId="0" fontId="157" fillId="52" borderId="0" applyNumberFormat="0" applyBorder="0" applyAlignment="0" applyProtection="0"/>
    <xf numFmtId="0" fontId="157" fillId="55" borderId="0" applyNumberFormat="0" applyBorder="0" applyAlignment="0" applyProtection="0"/>
    <xf numFmtId="0" fontId="268" fillId="53" borderId="0" applyNumberFormat="0" applyBorder="0" applyAlignment="0" applyProtection="0"/>
    <xf numFmtId="0" fontId="268" fillId="48" borderId="0" applyNumberFormat="0" applyBorder="0" applyAlignment="0" applyProtection="0"/>
    <xf numFmtId="0" fontId="157" fillId="49" borderId="0" applyNumberFormat="0" applyBorder="0" applyAlignment="0" applyProtection="0"/>
    <xf numFmtId="0" fontId="157" fillId="53" borderId="0" applyNumberFormat="0" applyBorder="0" applyAlignment="0" applyProtection="0"/>
    <xf numFmtId="0" fontId="268" fillId="53" borderId="0" applyNumberFormat="0" applyBorder="0" applyAlignment="0" applyProtection="0"/>
    <xf numFmtId="0" fontId="268" fillId="56" borderId="0" applyNumberFormat="0" applyBorder="0" applyAlignment="0" applyProtection="0"/>
    <xf numFmtId="0" fontId="157" fillId="57" borderId="0" applyNumberFormat="0" applyBorder="0" applyAlignment="0" applyProtection="0"/>
    <xf numFmtId="0" fontId="157" fillId="49" borderId="0" applyNumberFormat="0" applyBorder="0" applyAlignment="0" applyProtection="0"/>
    <xf numFmtId="0" fontId="268" fillId="50" borderId="0" applyNumberFormat="0" applyBorder="0" applyAlignment="0" applyProtection="0"/>
    <xf numFmtId="0" fontId="268" fillId="58" borderId="0" applyNumberFormat="0" applyBorder="0" applyAlignment="0" applyProtection="0"/>
    <xf numFmtId="0" fontId="157" fillId="52" borderId="0" applyNumberFormat="0" applyBorder="0" applyAlignment="0" applyProtection="0"/>
    <xf numFmtId="0" fontId="157" fillId="59" borderId="0" applyNumberFormat="0" applyBorder="0" applyAlignment="0" applyProtection="0"/>
    <xf numFmtId="0" fontId="268" fillId="59" borderId="0" applyNumberFormat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9" fillId="0" borderId="0" applyFont="0" applyFill="0" applyBorder="0" applyAlignment="0" applyProtection="0"/>
    <xf numFmtId="227" fontId="124" fillId="0" borderId="0" applyFont="0" applyFill="0" applyBorder="0" applyAlignment="0" applyProtection="0"/>
    <xf numFmtId="228" fontId="98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9" fillId="0" borderId="0" applyFont="0" applyFill="0" applyBorder="0" applyAlignment="0" applyProtection="0"/>
    <xf numFmtId="229" fontId="124" fillId="0" borderId="0" applyFont="0" applyFill="0" applyBorder="0" applyAlignment="0" applyProtection="0"/>
    <xf numFmtId="230" fontId="125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9" fillId="0" borderId="0" applyFont="0" applyFill="0" applyBorder="0" applyAlignment="0" applyProtection="0"/>
    <xf numFmtId="202" fontId="124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28" fontId="9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9" fillId="0" borderId="0" applyFont="0" applyFill="0" applyBorder="0" applyAlignment="0" applyProtection="0"/>
    <xf numFmtId="232" fontId="124" fillId="0" borderId="0" applyFont="0" applyFill="0" applyBorder="0" applyAlignment="0" applyProtection="0"/>
    <xf numFmtId="229" fontId="98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9" fillId="0" borderId="0" applyFont="0" applyFill="0" applyBorder="0" applyAlignment="0" applyProtection="0"/>
    <xf numFmtId="233" fontId="124" fillId="0" borderId="0" applyFont="0" applyFill="0" applyBorder="0" applyAlignment="0" applyProtection="0"/>
    <xf numFmtId="234" fontId="125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9" fillId="0" borderId="0" applyFont="0" applyFill="0" applyBorder="0" applyAlignment="0" applyProtection="0"/>
    <xf numFmtId="205" fontId="124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38" fontId="98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9" fillId="0" borderId="0" applyFont="0" applyFill="0" applyBorder="0" applyAlignment="0" applyProtection="0"/>
    <xf numFmtId="236" fontId="124" fillId="0" borderId="0" applyFont="0" applyFill="0" applyBorder="0" applyAlignment="0" applyProtection="0"/>
    <xf numFmtId="41" fontId="125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9" fillId="0" borderId="0" applyFont="0" applyFill="0" applyBorder="0" applyAlignment="0" applyProtection="0"/>
    <xf numFmtId="203" fontId="124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40" fontId="9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3" fontId="98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9" fillId="0" borderId="0" applyFont="0" applyFill="0" applyBorder="0" applyAlignment="0" applyProtection="0"/>
    <xf numFmtId="237" fontId="124" fillId="0" borderId="0" applyFont="0" applyFill="0" applyBorder="0" applyAlignment="0" applyProtection="0"/>
    <xf numFmtId="43" fontId="125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9" fillId="0" borderId="0" applyFont="0" applyFill="0" applyBorder="0" applyAlignment="0" applyProtection="0"/>
    <xf numFmtId="204" fontId="124" fillId="0" borderId="0" applyFont="0" applyFill="0" applyBorder="0" applyAlignment="0" applyProtection="0"/>
    <xf numFmtId="0" fontId="269" fillId="60" borderId="0" applyNumberFormat="0" applyBorder="0" applyAlignment="0" applyProtection="0"/>
    <xf numFmtId="0" fontId="124" fillId="0" borderId="0">
      <alignment vertical="center"/>
    </xf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89" fillId="0" borderId="0"/>
    <xf numFmtId="0" fontId="124" fillId="0" borderId="0"/>
    <xf numFmtId="0" fontId="123" fillId="0" borderId="0"/>
    <xf numFmtId="0" fontId="270" fillId="61" borderId="160" applyNumberFormat="0" applyAlignment="0" applyProtection="0"/>
    <xf numFmtId="0" fontId="271" fillId="54" borderId="161" applyNumberFormat="0" applyAlignment="0" applyProtection="0"/>
    <xf numFmtId="0" fontId="3" fillId="0" borderId="0" applyFont="0" applyFill="0" applyBorder="0" applyAlignment="0" applyProtection="0"/>
    <xf numFmtId="258" fontId="272" fillId="0" borderId="0" applyFont="0" applyFill="0" applyBorder="0" applyAlignment="0" applyProtection="0">
      <alignment horizontal="right"/>
    </xf>
    <xf numFmtId="259" fontId="272" fillId="0" borderId="0" applyFont="0" applyFill="0" applyBorder="0" applyAlignment="0" applyProtection="0">
      <alignment horizontal="right"/>
    </xf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260" fontId="272" fillId="0" borderId="0" applyFont="0" applyFill="0" applyBorder="0" applyAlignment="0" applyProtection="0">
      <alignment horizontal="right"/>
    </xf>
    <xf numFmtId="261" fontId="272" fillId="0" borderId="0" applyFont="0" applyFill="0" applyBorder="0" applyAlignment="0" applyProtection="0">
      <alignment horizontal="right"/>
    </xf>
    <xf numFmtId="208" fontId="4" fillId="0" borderId="0"/>
    <xf numFmtId="0" fontId="4" fillId="0" borderId="0" applyFont="0" applyFill="0" applyBorder="0" applyAlignment="0" applyProtection="0"/>
    <xf numFmtId="262" fontId="272" fillId="0" borderId="0" applyFont="0" applyFill="0" applyBorder="0" applyAlignment="0" applyProtection="0"/>
    <xf numFmtId="0" fontId="11" fillId="0" borderId="0" applyFill="0" applyBorder="0" applyAlignment="0" applyProtection="0"/>
    <xf numFmtId="263" fontId="272" fillId="0" borderId="162" applyNumberFormat="0" applyFont="0" applyFill="0" applyAlignment="0" applyProtection="0"/>
    <xf numFmtId="0" fontId="273" fillId="62" borderId="0" applyNumberFormat="0" applyBorder="0" applyAlignment="0" applyProtection="0"/>
    <xf numFmtId="0" fontId="273" fillId="63" borderId="0" applyNumberFormat="0" applyBorder="0" applyAlignment="0" applyProtection="0"/>
    <xf numFmtId="0" fontId="273" fillId="64" borderId="0" applyNumberFormat="0" applyBorder="0" applyAlignment="0" applyProtection="0"/>
    <xf numFmtId="0" fontId="274" fillId="0" borderId="0" applyFill="0" applyBorder="0" applyProtection="0">
      <alignment horizontal="left"/>
    </xf>
    <xf numFmtId="0" fontId="275" fillId="55" borderId="0" applyNumberFormat="0" applyBorder="0" applyAlignment="0" applyProtection="0"/>
    <xf numFmtId="38" fontId="31" fillId="2" borderId="0" applyNumberFormat="0" applyBorder="0" applyAlignment="0" applyProtection="0"/>
    <xf numFmtId="264" fontId="272" fillId="0" borderId="0" applyFont="0" applyFill="0" applyBorder="0" applyAlignment="0" applyProtection="0">
      <alignment horizontal="right"/>
    </xf>
    <xf numFmtId="0" fontId="276" fillId="0" borderId="0" applyProtection="0">
      <alignment horizontal="left"/>
    </xf>
    <xf numFmtId="0" fontId="277" fillId="0" borderId="0" applyNumberFormat="0" applyFill="0" applyBorder="0" applyAlignment="0" applyProtection="0"/>
    <xf numFmtId="14" fontId="73" fillId="5" borderId="2">
      <alignment horizontal="center" vertical="center" wrapText="1"/>
    </xf>
    <xf numFmtId="0" fontId="139" fillId="6" borderId="7" applyNumberFormat="0" applyFont="0" applyBorder="0" applyAlignment="0">
      <alignment horizontal="center"/>
      <protection locked="0"/>
    </xf>
    <xf numFmtId="0" fontId="278" fillId="0" borderId="163" applyNumberFormat="0" applyFill="0" applyAlignment="0" applyProtection="0"/>
    <xf numFmtId="0" fontId="143" fillId="4" borderId="8">
      <alignment horizontal="left" vertical="top" indent="2"/>
    </xf>
    <xf numFmtId="0" fontId="279" fillId="65" borderId="0" applyNumberFormat="0" applyBorder="0" applyAlignment="0" applyProtection="0"/>
    <xf numFmtId="207" fontId="43" fillId="0" borderId="0"/>
    <xf numFmtId="0" fontId="280" fillId="0" borderId="0" applyFont="0" applyFill="0" applyBorder="0" applyAlignment="0" applyProtection="0">
      <alignment horizontal="centerContinuous"/>
    </xf>
    <xf numFmtId="0" fontId="141" fillId="0" borderId="0" applyFont="0" applyFill="0" applyBorder="0" applyAlignment="0" applyProtection="0">
      <alignment horizontal="centerContinuous"/>
    </xf>
    <xf numFmtId="0" fontId="141" fillId="0" borderId="0" applyFont="0" applyFill="0" applyBorder="0" applyAlignment="0" applyProtection="0">
      <alignment horizontal="centerContinuous"/>
    </xf>
    <xf numFmtId="0" fontId="4" fillId="0" borderId="0" applyFont="0" applyFill="0" applyBorder="0" applyAlignment="0" applyProtection="0">
      <alignment horizontal="centerContinuous"/>
    </xf>
    <xf numFmtId="0" fontId="4" fillId="52" borderId="164" applyNumberFormat="0" applyFont="0" applyAlignment="0" applyProtection="0"/>
    <xf numFmtId="0" fontId="281" fillId="61" borderId="165" applyNumberFormat="0" applyAlignment="0" applyProtection="0"/>
    <xf numFmtId="1" fontId="282" fillId="0" borderId="0" applyProtection="0">
      <alignment horizontal="right" vertical="center"/>
    </xf>
    <xf numFmtId="0" fontId="5" fillId="0" borderId="0">
      <protection locked="0"/>
    </xf>
    <xf numFmtId="0" fontId="283" fillId="0" borderId="0">
      <protection locked="0"/>
    </xf>
    <xf numFmtId="0" fontId="5" fillId="0" borderId="0">
      <protection locked="0"/>
    </xf>
    <xf numFmtId="0" fontId="73" fillId="0" borderId="0">
      <protection locked="0"/>
    </xf>
    <xf numFmtId="265" fontId="284" fillId="0" borderId="0"/>
    <xf numFmtId="0" fontId="285" fillId="0" borderId="0" applyNumberFormat="0" applyFill="0" applyBorder="0" applyAlignment="0" applyProtection="0"/>
    <xf numFmtId="0" fontId="43" fillId="0" borderId="0"/>
    <xf numFmtId="0" fontId="286" fillId="0" borderId="0" applyBorder="0" applyProtection="0">
      <alignment vertical="center"/>
    </xf>
    <xf numFmtId="263" fontId="286" fillId="0" borderId="7" applyBorder="0" applyProtection="0">
      <alignment horizontal="right" vertical="center"/>
    </xf>
    <xf numFmtId="0" fontId="287" fillId="66" borderId="0" applyBorder="0" applyProtection="0">
      <alignment horizontal="centerContinuous" vertical="center"/>
    </xf>
    <xf numFmtId="0" fontId="287" fillId="67" borderId="7" applyBorder="0" applyProtection="0">
      <alignment horizontal="centerContinuous" vertical="center"/>
    </xf>
    <xf numFmtId="0" fontId="288" fillId="0" borderId="0" applyFill="0" applyBorder="0" applyProtection="0">
      <alignment horizontal="left"/>
    </xf>
    <xf numFmtId="0" fontId="274" fillId="0" borderId="114" applyFill="0" applyBorder="0" applyProtection="0">
      <alignment horizontal="left" vertical="top"/>
    </xf>
    <xf numFmtId="0" fontId="289" fillId="0" borderId="0" applyNumberFormat="0" applyFill="0" applyBorder="0" applyAlignment="0" applyProtection="0"/>
    <xf numFmtId="2" fontId="290" fillId="0" borderId="0" applyFont="0" applyFill="0" applyBorder="0" applyAlignment="0" applyProtection="0"/>
    <xf numFmtId="0" fontId="291" fillId="0" borderId="0" applyNumberFormat="0" applyFill="0" applyBorder="0" applyAlignment="0" applyProtection="0"/>
    <xf numFmtId="0" fontId="292" fillId="0" borderId="0" applyNumberFormat="0" applyFill="0" applyBorder="0" applyAlignment="0" applyProtection="0"/>
    <xf numFmtId="0" fontId="290" fillId="0" borderId="0" applyFont="0" applyFill="0" applyBorder="0" applyAlignment="0" applyProtection="0"/>
    <xf numFmtId="0" fontId="290" fillId="0" borderId="0" applyFont="0" applyFill="0" applyBorder="0" applyAlignment="0" applyProtection="0"/>
    <xf numFmtId="0" fontId="293" fillId="0" borderId="0" applyNumberFormat="0" applyFill="0" applyBorder="0" applyAlignment="0" applyProtection="0">
      <alignment vertical="top"/>
      <protection locked="0"/>
    </xf>
    <xf numFmtId="49" fontId="43" fillId="0" borderId="0"/>
    <xf numFmtId="9" fontId="4" fillId="0" borderId="0" applyFont="0" applyFill="0" applyBorder="0" applyAlignment="0" applyProtection="0"/>
    <xf numFmtId="197" fontId="294" fillId="0" borderId="0" applyFont="0" applyProtection="0">
      <protection locked="0"/>
    </xf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Border="0" applyProtection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3" fillId="0" borderId="0" applyFont="0" applyFill="0" applyBorder="0" applyAlignment="0" applyProtection="0"/>
    <xf numFmtId="266" fontId="294" fillId="0" borderId="0" applyFont="0">
      <protection locked="0"/>
    </xf>
    <xf numFmtId="0" fontId="295" fillId="0" borderId="0" applyNumberFormat="0" applyFill="0" applyBorder="0" applyAlignment="0" applyProtection="0">
      <alignment vertical="top"/>
      <protection locked="0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18" fillId="0" borderId="0">
      <alignment vertical="center"/>
    </xf>
    <xf numFmtId="0" fontId="4" fillId="0" borderId="0"/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17" fillId="0" borderId="0">
      <alignment vertical="center"/>
    </xf>
    <xf numFmtId="0" fontId="4" fillId="0" borderId="0"/>
    <xf numFmtId="0" fontId="6" fillId="0" borderId="0"/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4" fillId="0" borderId="0"/>
    <xf numFmtId="0" fontId="4" fillId="0" borderId="0"/>
    <xf numFmtId="0" fontId="290" fillId="0" borderId="15" applyNumberFormat="0" applyFont="0" applyFill="0" applyAlignment="0" applyProtection="0"/>
    <xf numFmtId="0" fontId="1" fillId="0" borderId="0">
      <alignment vertical="center"/>
    </xf>
    <xf numFmtId="0" fontId="217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9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3" borderId="0" applyNumberFormat="0" applyBorder="0" applyAlignment="0" applyProtection="0">
      <alignment vertical="center"/>
    </xf>
    <xf numFmtId="0" fontId="2" fillId="74" borderId="0" applyNumberFormat="0" applyBorder="0" applyAlignment="0" applyProtection="0">
      <alignment vertical="center"/>
    </xf>
    <xf numFmtId="0" fontId="2" fillId="75" borderId="0" applyNumberFormat="0" applyBorder="0" applyAlignment="0" applyProtection="0">
      <alignment vertical="center"/>
    </xf>
    <xf numFmtId="0" fontId="2" fillId="76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4" borderId="0" applyNumberFormat="0" applyBorder="0" applyAlignment="0" applyProtection="0">
      <alignment vertical="center"/>
    </xf>
    <xf numFmtId="0" fontId="2" fillId="77" borderId="0" applyNumberFormat="0" applyBorder="0" applyAlignment="0" applyProtection="0">
      <alignment vertical="center"/>
    </xf>
    <xf numFmtId="0" fontId="296" fillId="78" borderId="0" applyNumberFormat="0" applyBorder="0" applyAlignment="0" applyProtection="0">
      <alignment vertical="center"/>
    </xf>
    <xf numFmtId="0" fontId="296" fillId="75" borderId="0" applyNumberFormat="0" applyBorder="0" applyAlignment="0" applyProtection="0">
      <alignment vertical="center"/>
    </xf>
    <xf numFmtId="0" fontId="296" fillId="76" borderId="0" applyNumberFormat="0" applyBorder="0" applyAlignment="0" applyProtection="0">
      <alignment vertical="center"/>
    </xf>
    <xf numFmtId="0" fontId="296" fillId="79" borderId="0" applyNumberFormat="0" applyBorder="0" applyAlignment="0" applyProtection="0">
      <alignment vertical="center"/>
    </xf>
    <xf numFmtId="0" fontId="296" fillId="80" borderId="0" applyNumberFormat="0" applyBorder="0" applyAlignment="0" applyProtection="0">
      <alignment vertical="center"/>
    </xf>
    <xf numFmtId="0" fontId="296" fillId="81" borderId="0" applyNumberFormat="0" applyBorder="0" applyAlignment="0" applyProtection="0">
      <alignment vertical="center"/>
    </xf>
    <xf numFmtId="211" fontId="99" fillId="0" borderId="0">
      <protection locked="0"/>
    </xf>
    <xf numFmtId="211" fontId="99" fillId="0" borderId="0">
      <protection locked="0"/>
    </xf>
    <xf numFmtId="0" fontId="296" fillId="82" borderId="0" applyNumberFormat="0" applyBorder="0" applyAlignment="0" applyProtection="0">
      <alignment vertical="center"/>
    </xf>
    <xf numFmtId="0" fontId="296" fillId="83" borderId="0" applyNumberFormat="0" applyBorder="0" applyAlignment="0" applyProtection="0">
      <alignment vertical="center"/>
    </xf>
    <xf numFmtId="0" fontId="296" fillId="84" borderId="0" applyNumberFormat="0" applyBorder="0" applyAlignment="0" applyProtection="0">
      <alignment vertical="center"/>
    </xf>
    <xf numFmtId="0" fontId="296" fillId="79" borderId="0" applyNumberFormat="0" applyBorder="0" applyAlignment="0" applyProtection="0">
      <alignment vertical="center"/>
    </xf>
    <xf numFmtId="0" fontId="296" fillId="80" borderId="0" applyNumberFormat="0" applyBorder="0" applyAlignment="0" applyProtection="0">
      <alignment vertical="center"/>
    </xf>
    <xf numFmtId="0" fontId="296" fillId="85" borderId="0" applyNumberFormat="0" applyBorder="0" applyAlignment="0" applyProtection="0">
      <alignment vertical="center"/>
    </xf>
    <xf numFmtId="0" fontId="297" fillId="0" borderId="0" applyNumberFormat="0" applyFill="0" applyBorder="0" applyAlignment="0" applyProtection="0">
      <alignment vertical="center"/>
    </xf>
    <xf numFmtId="0" fontId="298" fillId="86" borderId="160" applyNumberFormat="0" applyAlignment="0" applyProtection="0">
      <alignment vertical="center"/>
    </xf>
    <xf numFmtId="0" fontId="299" fillId="69" borderId="0" applyNumberFormat="0" applyBorder="0" applyAlignment="0" applyProtection="0">
      <alignment vertical="center"/>
    </xf>
    <xf numFmtId="0" fontId="4" fillId="87" borderId="164" applyNumberFormat="0" applyFont="0" applyAlignment="0" applyProtection="0">
      <alignment vertical="center"/>
    </xf>
    <xf numFmtId="0" fontId="300" fillId="88" borderId="0" applyNumberFormat="0" applyBorder="0" applyAlignment="0" applyProtection="0">
      <alignment vertical="center"/>
    </xf>
    <xf numFmtId="0" fontId="301" fillId="0" borderId="0" applyNumberFormat="0" applyFill="0" applyBorder="0" applyAlignment="0" applyProtection="0">
      <alignment vertical="center"/>
    </xf>
    <xf numFmtId="0" fontId="302" fillId="89" borderId="161" applyNumberFormat="0" applyAlignment="0" applyProtection="0">
      <alignment vertical="center"/>
    </xf>
    <xf numFmtId="268" fontId="5" fillId="0" borderId="0" applyFont="0" applyFill="0" applyBorder="0" applyAlignment="0" applyProtection="0"/>
    <xf numFmtId="0" fontId="303" fillId="0" borderId="163" applyNumberFormat="0" applyFill="0" applyAlignment="0" applyProtection="0">
      <alignment vertical="center"/>
    </xf>
    <xf numFmtId="0" fontId="304" fillId="0" borderId="166" applyNumberFormat="0" applyFill="0" applyAlignment="0" applyProtection="0">
      <alignment vertical="center"/>
    </xf>
    <xf numFmtId="0" fontId="305" fillId="73" borderId="160" applyNumberFormat="0" applyAlignment="0" applyProtection="0">
      <alignment vertical="center"/>
    </xf>
    <xf numFmtId="0" fontId="306" fillId="0" borderId="0" applyNumberFormat="0" applyFill="0" applyBorder="0" applyAlignment="0" applyProtection="0">
      <alignment vertical="center"/>
    </xf>
    <xf numFmtId="0" fontId="211" fillId="0" borderId="167" applyNumberFormat="0" applyFill="0" applyAlignment="0" applyProtection="0">
      <alignment vertical="center"/>
    </xf>
    <xf numFmtId="0" fontId="307" fillId="0" borderId="168" applyNumberFormat="0" applyFill="0" applyAlignment="0" applyProtection="0">
      <alignment vertical="center"/>
    </xf>
    <xf numFmtId="0" fontId="308" fillId="0" borderId="169" applyNumberFormat="0" applyFill="0" applyAlignment="0" applyProtection="0">
      <alignment vertical="center"/>
    </xf>
    <xf numFmtId="0" fontId="308" fillId="0" borderId="0" applyNumberFormat="0" applyFill="0" applyBorder="0" applyAlignment="0" applyProtection="0">
      <alignment vertical="center"/>
    </xf>
    <xf numFmtId="0" fontId="309" fillId="70" borderId="0" applyNumberFormat="0" applyBorder="0" applyAlignment="0" applyProtection="0">
      <alignment vertical="center"/>
    </xf>
    <xf numFmtId="0" fontId="310" fillId="86" borderId="165" applyNumberFormat="0" applyAlignment="0" applyProtection="0">
      <alignment vertical="center"/>
    </xf>
    <xf numFmtId="267" fontId="120" fillId="0" borderId="0" applyFont="0" applyFill="0" applyBorder="0" applyAlignment="0" applyProtection="0"/>
    <xf numFmtId="267" fontId="120" fillId="0" borderId="0" applyFont="0" applyFill="0" applyBorder="0" applyAlignment="0" applyProtection="0"/>
  </cellStyleXfs>
  <cellXfs count="1486">
    <xf numFmtId="0" fontId="0" fillId="0" borderId="0" xfId="0">
      <alignment vertical="center"/>
    </xf>
    <xf numFmtId="38" fontId="0" fillId="0" borderId="0" xfId="0" applyNumberFormat="1" applyAlignment="1"/>
    <xf numFmtId="38" fontId="8" fillId="4" borderId="0" xfId="2116" applyFont="1" applyAlignment="1"/>
    <xf numFmtId="38" fontId="10" fillId="4" borderId="0" xfId="2116" applyFont="1"/>
    <xf numFmtId="38" fontId="11" fillId="4" borderId="0" xfId="2116" applyFont="1"/>
    <xf numFmtId="38" fontId="14" fillId="0" borderId="0" xfId="0" applyNumberFormat="1" applyFont="1" applyAlignment="1">
      <alignment horizontal="left"/>
    </xf>
    <xf numFmtId="38" fontId="14" fillId="0" borderId="0" xfId="0" applyNumberFormat="1" applyFont="1" applyAlignment="1">
      <alignment horizontal="right"/>
    </xf>
    <xf numFmtId="38" fontId="11" fillId="0" borderId="0" xfId="0" applyNumberFormat="1" applyFont="1" applyAlignment="1"/>
    <xf numFmtId="38" fontId="11" fillId="4" borderId="0" xfId="2116" applyFont="1" applyAlignment="1"/>
    <xf numFmtId="38" fontId="15" fillId="0" borderId="0" xfId="0" applyNumberFormat="1" applyFont="1" applyAlignment="1"/>
    <xf numFmtId="38" fontId="13" fillId="0" borderId="0" xfId="0" applyNumberFormat="1" applyFont="1" applyAlignment="1"/>
    <xf numFmtId="38" fontId="14" fillId="4" borderId="0" xfId="2116" applyFont="1" applyAlignment="1">
      <alignment horizontal="right"/>
    </xf>
    <xf numFmtId="38" fontId="14" fillId="0" borderId="0" xfId="0" applyNumberFormat="1" applyFont="1" applyAlignment="1"/>
    <xf numFmtId="38" fontId="14" fillId="0" borderId="0" xfId="0" quotePrefix="1" applyNumberFormat="1" applyFont="1" applyAlignment="1">
      <alignment horizontal="right"/>
    </xf>
    <xf numFmtId="0" fontId="9" fillId="4" borderId="0" xfId="0" applyNumberFormat="1" applyFont="1" applyFill="1" applyBorder="1" applyAlignment="1">
      <alignment horizontal="right" vertical="center"/>
    </xf>
    <xf numFmtId="38" fontId="11" fillId="4" borderId="0" xfId="2116" applyFont="1" applyFill="1" applyBorder="1"/>
    <xf numFmtId="38" fontId="14" fillId="4" borderId="0" xfId="2116" applyFont="1" applyAlignment="1"/>
    <xf numFmtId="0" fontId="8" fillId="4" borderId="0" xfId="0" applyNumberFormat="1" applyFont="1" applyFill="1" applyBorder="1" applyAlignment="1">
      <alignment vertical="center"/>
    </xf>
    <xf numFmtId="38" fontId="14" fillId="4" borderId="0" xfId="2116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38" fontId="5" fillId="4" borderId="0" xfId="2116" quotePrefix="1" applyFont="1" applyAlignment="1"/>
    <xf numFmtId="38" fontId="18" fillId="0" borderId="0" xfId="0" applyNumberFormat="1" applyFont="1" applyAlignment="1"/>
    <xf numFmtId="38" fontId="5" fillId="4" borderId="0" xfId="2116" applyFont="1" applyAlignment="1"/>
    <xf numFmtId="38" fontId="11" fillId="4" borderId="0" xfId="2116" applyFont="1" applyAlignment="1">
      <alignment horizontal="left"/>
    </xf>
    <xf numFmtId="38" fontId="5" fillId="4" borderId="0" xfId="2116" quotePrefix="1" applyFont="1" applyAlignment="1">
      <alignment wrapText="1"/>
    </xf>
    <xf numFmtId="38" fontId="14" fillId="4" borderId="0" xfId="2116" applyFont="1" applyAlignment="1">
      <alignment wrapText="1"/>
    </xf>
    <xf numFmtId="38" fontId="11" fillId="4" borderId="0" xfId="0" applyNumberFormat="1" applyFont="1" applyFill="1" applyBorder="1" applyAlignment="1"/>
    <xf numFmtId="38" fontId="14" fillId="4" borderId="0" xfId="2116" applyFont="1"/>
    <xf numFmtId="38" fontId="19" fillId="0" borderId="0" xfId="0" applyNumberFormat="1" applyFont="1" applyAlignment="1">
      <alignment horizontal="right"/>
    </xf>
    <xf numFmtId="38" fontId="21" fillId="0" borderId="16" xfId="0" applyNumberFormat="1" applyFont="1" applyFill="1" applyBorder="1" applyAlignment="1"/>
    <xf numFmtId="0" fontId="22" fillId="0" borderId="16" xfId="2118" applyNumberFormat="1" applyFont="1" applyFill="1" applyBorder="1" applyAlignment="1" applyProtection="1">
      <alignment horizontal="left" vertical="center"/>
    </xf>
    <xf numFmtId="38" fontId="21" fillId="0" borderId="0" xfId="0" applyNumberFormat="1" applyFont="1" applyFill="1" applyBorder="1" applyAlignment="1"/>
    <xf numFmtId="38" fontId="23" fillId="0" borderId="0" xfId="0" applyNumberFormat="1" applyFont="1" applyFill="1" applyBorder="1" applyAlignment="1"/>
    <xf numFmtId="38" fontId="21" fillId="0" borderId="17" xfId="0" applyNumberFormat="1" applyFont="1" applyFill="1" applyBorder="1" applyAlignment="1"/>
    <xf numFmtId="38" fontId="25" fillId="4" borderId="0" xfId="2118" applyNumberFormat="1" applyFont="1" applyFill="1" applyBorder="1" applyAlignment="1" applyProtection="1">
      <alignment horizontal="right"/>
    </xf>
    <xf numFmtId="38" fontId="26" fillId="0" borderId="0" xfId="0" applyNumberFormat="1" applyFont="1" applyBorder="1" applyAlignment="1">
      <alignment horizontal="left" vertical="center"/>
    </xf>
    <xf numFmtId="38" fontId="18" fillId="0" borderId="0" xfId="0" applyNumberFormat="1" applyFont="1" applyBorder="1" applyAlignment="1">
      <alignment horizontal="left" vertical="center"/>
    </xf>
    <xf numFmtId="38" fontId="28" fillId="0" borderId="0" xfId="0" applyNumberFormat="1" applyFont="1" applyBorder="1" applyAlignment="1">
      <alignment horizontal="center" vertical="center"/>
    </xf>
    <xf numFmtId="38" fontId="29" fillId="10" borderId="0" xfId="0" applyNumberFormat="1" applyFont="1" applyFill="1" applyBorder="1" applyAlignment="1">
      <alignment horizontal="right" vertical="center"/>
    </xf>
    <xf numFmtId="177" fontId="29" fillId="10" borderId="0" xfId="0" applyNumberFormat="1" applyFont="1" applyFill="1" applyBorder="1" applyAlignment="1">
      <alignment horizontal="right" vertical="center"/>
    </xf>
    <xf numFmtId="178" fontId="30" fillId="10" borderId="0" xfId="0" applyNumberFormat="1" applyFont="1" applyFill="1" applyBorder="1" applyAlignment="1">
      <alignment horizontal="right" vertical="center"/>
    </xf>
    <xf numFmtId="38" fontId="31" fillId="0" borderId="0" xfId="0" applyNumberFormat="1" applyFont="1" applyBorder="1" applyAlignment="1">
      <alignment horizontal="right" vertical="center"/>
    </xf>
    <xf numFmtId="38" fontId="5" fillId="4" borderId="0" xfId="0" applyNumberFormat="1" applyFont="1" applyFill="1" applyBorder="1" applyAlignment="1"/>
    <xf numFmtId="37" fontId="31" fillId="4" borderId="0" xfId="1540" applyNumberFormat="1" applyFont="1" applyFill="1" applyBorder="1" applyAlignment="1">
      <alignment vertical="center" wrapText="1"/>
    </xf>
    <xf numFmtId="37" fontId="31" fillId="0" borderId="0" xfId="1540" applyNumberFormat="1" applyFont="1" applyBorder="1" applyAlignment="1">
      <alignment horizontal="right" vertical="center" wrapText="1"/>
    </xf>
    <xf numFmtId="37" fontId="31" fillId="4" borderId="13" xfId="1540" applyNumberFormat="1" applyFont="1" applyFill="1" applyBorder="1" applyAlignment="1">
      <alignment vertical="center"/>
    </xf>
    <xf numFmtId="38" fontId="14" fillId="0" borderId="0" xfId="0" applyNumberFormat="1" applyFont="1" applyFill="1" applyBorder="1" applyAlignment="1"/>
    <xf numFmtId="38" fontId="31" fillId="0" borderId="0" xfId="0" applyNumberFormat="1" applyFont="1" applyFill="1" applyBorder="1" applyAlignment="1">
      <alignment vertical="center"/>
    </xf>
    <xf numFmtId="37" fontId="31" fillId="0" borderId="18" xfId="1540" applyNumberFormat="1" applyFont="1" applyFill="1" applyBorder="1" applyAlignment="1">
      <alignment horizontal="right" vertical="center" wrapText="1"/>
    </xf>
    <xf numFmtId="37" fontId="31" fillId="4" borderId="19" xfId="1540" applyNumberFormat="1" applyFont="1" applyFill="1" applyBorder="1" applyAlignment="1">
      <alignment vertical="center" wrapText="1"/>
    </xf>
    <xf numFmtId="37" fontId="23" fillId="0" borderId="0" xfId="1540" applyNumberFormat="1" applyFont="1" applyBorder="1" applyAlignment="1">
      <alignment horizontal="right" vertical="center"/>
    </xf>
    <xf numFmtId="37" fontId="31" fillId="0" borderId="13" xfId="1540" applyNumberFormat="1" applyFont="1" applyFill="1" applyBorder="1" applyAlignment="1">
      <alignment horizontal="right" vertical="center" wrapText="1"/>
    </xf>
    <xf numFmtId="37" fontId="31" fillId="4" borderId="20" xfId="1540" applyNumberFormat="1" applyFont="1" applyFill="1" applyBorder="1" applyAlignment="1">
      <alignment horizontal="right" vertical="center" wrapText="1"/>
    </xf>
    <xf numFmtId="38" fontId="21" fillId="0" borderId="18" xfId="0" applyNumberFormat="1" applyFont="1" applyFill="1" applyBorder="1" applyAlignment="1"/>
    <xf numFmtId="38" fontId="33" fillId="4" borderId="0" xfId="0" applyNumberFormat="1" applyFont="1" applyFill="1" applyBorder="1" applyAlignment="1">
      <alignment horizontal="center"/>
    </xf>
    <xf numFmtId="38" fontId="34" fillId="4" borderId="0" xfId="0" applyNumberFormat="1" applyFont="1" applyFill="1" applyBorder="1" applyAlignment="1"/>
    <xf numFmtId="37" fontId="26" fillId="0" borderId="0" xfId="1540" applyNumberFormat="1" applyFont="1" applyBorder="1" applyAlignment="1">
      <alignment horizontal="right" vertical="center"/>
    </xf>
    <xf numFmtId="37" fontId="31" fillId="4" borderId="20" xfId="1540" applyNumberFormat="1" applyFont="1" applyFill="1" applyBorder="1" applyAlignment="1">
      <alignment vertical="center" wrapText="1"/>
    </xf>
    <xf numFmtId="38" fontId="21" fillId="0" borderId="13" xfId="0" applyNumberFormat="1" applyFont="1" applyFill="1" applyBorder="1" applyAlignment="1"/>
    <xf numFmtId="37" fontId="23" fillId="0" borderId="0" xfId="1540" applyNumberFormat="1" applyFont="1" applyFill="1" applyBorder="1" applyAlignment="1">
      <alignment horizontal="right" vertical="center"/>
    </xf>
    <xf numFmtId="38" fontId="5" fillId="0" borderId="17" xfId="0" applyNumberFormat="1" applyFont="1" applyFill="1" applyBorder="1" applyAlignment="1"/>
    <xf numFmtId="38" fontId="5" fillId="0" borderId="0" xfId="0" applyNumberFormat="1" applyFont="1" applyFill="1" applyBorder="1" applyAlignment="1"/>
    <xf numFmtId="37" fontId="31" fillId="4" borderId="18" xfId="1540" applyNumberFormat="1" applyFont="1" applyFill="1" applyBorder="1" applyAlignment="1">
      <alignment vertical="center"/>
    </xf>
    <xf numFmtId="37" fontId="35" fillId="0" borderId="0" xfId="1540" applyNumberFormat="1" applyFont="1" applyBorder="1" applyAlignment="1">
      <alignment vertical="center"/>
    </xf>
    <xf numFmtId="37" fontId="31" fillId="4" borderId="21" xfId="0" applyNumberFormat="1" applyFont="1" applyFill="1" applyBorder="1" applyAlignment="1">
      <alignment vertical="center"/>
    </xf>
    <xf numFmtId="37" fontId="31" fillId="4" borderId="18" xfId="0" applyNumberFormat="1" applyFont="1" applyFill="1" applyBorder="1" applyAlignment="1">
      <alignment vertical="center"/>
    </xf>
    <xf numFmtId="38" fontId="5" fillId="0" borderId="17" xfId="0" applyNumberFormat="1" applyFont="1" applyFill="1" applyBorder="1" applyAlignment="1">
      <alignment vertical="top"/>
    </xf>
    <xf numFmtId="38" fontId="5" fillId="0" borderId="0" xfId="0" applyNumberFormat="1" applyFont="1" applyFill="1" applyBorder="1" applyAlignment="1">
      <alignment vertical="top"/>
    </xf>
    <xf numFmtId="37" fontId="31" fillId="0" borderId="0" xfId="0" applyNumberFormat="1" applyFont="1" applyBorder="1" applyAlignment="1">
      <alignment horizontal="left" vertical="center" wrapText="1"/>
    </xf>
    <xf numFmtId="38" fontId="5" fillId="4" borderId="0" xfId="0" applyNumberFormat="1" applyFont="1" applyFill="1" applyBorder="1" applyAlignment="1">
      <alignment vertical="top"/>
    </xf>
    <xf numFmtId="37" fontId="26" fillId="0" borderId="0" xfId="0" applyNumberFormat="1" applyFont="1" applyFill="1" applyBorder="1" applyAlignment="1">
      <alignment horizontal="right"/>
    </xf>
    <xf numFmtId="38" fontId="31" fillId="0" borderId="0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vertical="center"/>
    </xf>
    <xf numFmtId="37" fontId="26" fillId="0" borderId="0" xfId="0" applyNumberFormat="1" applyFont="1" applyFill="1" applyBorder="1" applyAlignment="1">
      <alignment horizontal="right" vertical="center"/>
    </xf>
    <xf numFmtId="37" fontId="26" fillId="0" borderId="0" xfId="0" applyNumberFormat="1" applyFont="1" applyBorder="1" applyAlignment="1">
      <alignment horizontal="right"/>
    </xf>
    <xf numFmtId="38" fontId="21" fillId="11" borderId="0" xfId="0" applyNumberFormat="1" applyFont="1" applyFill="1" applyBorder="1" applyAlignment="1"/>
    <xf numFmtId="38" fontId="11" fillId="0" borderId="0" xfId="0" applyNumberFormat="1" applyFont="1" applyFill="1" applyBorder="1" applyAlignment="1"/>
    <xf numFmtId="37" fontId="31" fillId="4" borderId="0" xfId="0" applyNumberFormat="1" applyFont="1" applyFill="1" applyBorder="1" applyAlignment="1">
      <alignment vertical="center"/>
    </xf>
    <xf numFmtId="38" fontId="21" fillId="4" borderId="0" xfId="0" applyNumberFormat="1" applyFont="1" applyFill="1" applyBorder="1" applyAlignment="1"/>
    <xf numFmtId="0" fontId="26" fillId="0" borderId="0" xfId="0" applyNumberFormat="1" applyFont="1" applyBorder="1" applyAlignment="1">
      <alignment horizontal="left" vertical="center"/>
    </xf>
    <xf numFmtId="177" fontId="21" fillId="0" borderId="0" xfId="0" applyNumberFormat="1" applyFont="1" applyFill="1" applyBorder="1" applyAlignment="1"/>
    <xf numFmtId="0" fontId="38" fillId="0" borderId="0" xfId="0" applyNumberFormat="1" applyFont="1" applyBorder="1" applyAlignment="1">
      <alignment horizontal="left" vertical="center"/>
    </xf>
    <xf numFmtId="38" fontId="37" fillId="0" borderId="0" xfId="0" applyNumberFormat="1" applyFont="1" applyBorder="1" applyAlignment="1">
      <alignment horizontal="left" vertical="center" wrapText="1"/>
    </xf>
    <xf numFmtId="38" fontId="37" fillId="0" borderId="0" xfId="0" applyNumberFormat="1" applyFont="1" applyBorder="1" applyAlignment="1">
      <alignment vertical="center" wrapText="1"/>
    </xf>
    <xf numFmtId="38" fontId="39" fillId="0" borderId="0" xfId="0" applyNumberFormat="1" applyFont="1" applyBorder="1" applyAlignment="1">
      <alignment horizontal="left" vertical="center"/>
    </xf>
    <xf numFmtId="38" fontId="41" fillId="0" borderId="0" xfId="0" applyNumberFormat="1" applyFont="1" applyFill="1" applyBorder="1" applyAlignment="1"/>
    <xf numFmtId="38" fontId="21" fillId="4" borderId="16" xfId="0" applyNumberFormat="1" applyFont="1" applyFill="1" applyBorder="1" applyAlignment="1"/>
    <xf numFmtId="38" fontId="42" fillId="0" borderId="0" xfId="0" applyNumberFormat="1" applyFont="1" applyFill="1" applyBorder="1" applyAlignment="1"/>
    <xf numFmtId="177" fontId="42" fillId="0" borderId="0" xfId="0" applyNumberFormat="1" applyFont="1" applyFill="1" applyBorder="1" applyAlignment="1"/>
    <xf numFmtId="38" fontId="23" fillId="0" borderId="0" xfId="0" applyNumberFormat="1" applyFont="1" applyFill="1" applyBorder="1" applyAlignment="1">
      <alignment horizontal="right"/>
    </xf>
    <xf numFmtId="38" fontId="47" fillId="0" borderId="17" xfId="0" applyNumberFormat="1" applyFont="1" applyFill="1" applyBorder="1" applyAlignment="1"/>
    <xf numFmtId="177" fontId="35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/>
    <xf numFmtId="177" fontId="11" fillId="0" borderId="0" xfId="0" applyNumberFormat="1" applyFont="1" applyFill="1" applyBorder="1" applyAlignment="1"/>
    <xf numFmtId="38" fontId="52" fillId="0" borderId="0" xfId="0" applyNumberFormat="1" applyFont="1" applyBorder="1" applyAlignment="1">
      <alignment vertical="center"/>
    </xf>
    <xf numFmtId="38" fontId="53" fillId="0" borderId="22" xfId="0" applyNumberFormat="1" applyFont="1" applyFill="1" applyBorder="1" applyAlignment="1"/>
    <xf numFmtId="0" fontId="22" fillId="0" borderId="22" xfId="2118" applyNumberFormat="1" applyFont="1" applyFill="1" applyBorder="1" applyAlignment="1" applyProtection="1">
      <alignment horizontal="left" vertical="center"/>
    </xf>
    <xf numFmtId="38" fontId="53" fillId="0" borderId="0" xfId="0" applyNumberFormat="1" applyFont="1" applyFill="1" applyBorder="1" applyAlignment="1"/>
    <xf numFmtId="0" fontId="22" fillId="0" borderId="0" xfId="2118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>
      <alignment vertical="center"/>
    </xf>
    <xf numFmtId="38" fontId="56" fillId="0" borderId="0" xfId="0" applyNumberFormat="1" applyFont="1" applyBorder="1" applyAlignment="1"/>
    <xf numFmtId="38" fontId="53" fillId="0" borderId="17" xfId="0" applyNumberFormat="1" applyFont="1" applyFill="1" applyBorder="1" applyAlignment="1"/>
    <xf numFmtId="182" fontId="56" fillId="0" borderId="0" xfId="0" applyNumberFormat="1" applyFont="1" applyBorder="1" applyAlignment="1"/>
    <xf numFmtId="181" fontId="56" fillId="4" borderId="0" xfId="1548" applyNumberFormat="1" applyFont="1" applyFill="1" applyBorder="1" applyAlignment="1"/>
    <xf numFmtId="38" fontId="30" fillId="0" borderId="0" xfId="0" applyNumberFormat="1" applyFont="1" applyFill="1" applyBorder="1" applyAlignment="1">
      <alignment vertical="center"/>
    </xf>
    <xf numFmtId="38" fontId="40" fillId="0" borderId="0" xfId="0" applyNumberFormat="1" applyFont="1" applyAlignment="1">
      <alignment horizontal="left" vertical="center"/>
    </xf>
    <xf numFmtId="38" fontId="53" fillId="4" borderId="0" xfId="0" applyNumberFormat="1" applyFont="1" applyFill="1" applyBorder="1" applyAlignment="1"/>
    <xf numFmtId="38" fontId="56" fillId="0" borderId="0" xfId="0" applyNumberFormat="1" applyFont="1" applyFill="1" applyBorder="1" applyAlignment="1"/>
    <xf numFmtId="38" fontId="60" fillId="0" borderId="22" xfId="0" applyNumberFormat="1" applyFont="1" applyBorder="1" applyAlignment="1"/>
    <xf numFmtId="38" fontId="60" fillId="0" borderId="22" xfId="0" applyNumberFormat="1" applyFont="1" applyFill="1" applyBorder="1" applyAlignment="1"/>
    <xf numFmtId="38" fontId="60" fillId="0" borderId="0" xfId="0" applyNumberFormat="1" applyFont="1" applyFill="1" applyBorder="1" applyAlignment="1"/>
    <xf numFmtId="38" fontId="60" fillId="0" borderId="0" xfId="0" applyNumberFormat="1" applyFont="1" applyAlignment="1"/>
    <xf numFmtId="38" fontId="60" fillId="0" borderId="17" xfId="0" applyNumberFormat="1" applyFont="1" applyBorder="1" applyAlignment="1"/>
    <xf numFmtId="0" fontId="18" fillId="0" borderId="0" xfId="2118" applyNumberFormat="1" applyFont="1" applyFill="1" applyBorder="1" applyAlignment="1" applyProtection="1">
      <alignment horizontal="left" vertical="center"/>
    </xf>
    <xf numFmtId="38" fontId="61" fillId="0" borderId="17" xfId="0" applyNumberFormat="1" applyFont="1" applyBorder="1" applyAlignment="1"/>
    <xf numFmtId="38" fontId="61" fillId="0" borderId="0" xfId="0" applyNumberFormat="1" applyFont="1" applyAlignment="1"/>
    <xf numFmtId="38" fontId="31" fillId="0" borderId="0" xfId="0" applyNumberFormat="1" applyFont="1" applyBorder="1" applyAlignment="1">
      <alignment vertical="center" wrapText="1"/>
    </xf>
    <xf numFmtId="38" fontId="30" fillId="0" borderId="0" xfId="0" applyNumberFormat="1" applyFont="1" applyFill="1" applyBorder="1" applyAlignment="1"/>
    <xf numFmtId="38" fontId="30" fillId="0" borderId="0" xfId="0" applyNumberFormat="1" applyFont="1" applyFill="1" applyBorder="1" applyAlignment="1">
      <alignment horizontal="right" vertical="center" wrapText="1"/>
    </xf>
    <xf numFmtId="38" fontId="30" fillId="0" borderId="0" xfId="0" applyNumberFormat="1" applyFont="1" applyFill="1" applyBorder="1" applyAlignment="1">
      <alignment horizontal="center" vertical="center" wrapText="1"/>
    </xf>
    <xf numFmtId="38" fontId="31" fillId="0" borderId="0" xfId="0" applyNumberFormat="1" applyFont="1" applyFill="1" applyBorder="1" applyAlignment="1"/>
    <xf numFmtId="38" fontId="31" fillId="4" borderId="0" xfId="0" applyNumberFormat="1" applyFont="1" applyFill="1" applyBorder="1" applyAlignment="1"/>
    <xf numFmtId="3" fontId="31" fillId="0" borderId="0" xfId="0" applyNumberFormat="1" applyFont="1" applyFill="1" applyBorder="1" applyAlignment="1"/>
    <xf numFmtId="182" fontId="31" fillId="0" borderId="0" xfId="0" applyNumberFormat="1" applyFont="1" applyFill="1" applyBorder="1" applyAlignment="1"/>
    <xf numFmtId="38" fontId="35" fillId="0" borderId="0" xfId="0" applyNumberFormat="1" applyFont="1" applyBorder="1" applyAlignment="1"/>
    <xf numFmtId="3" fontId="35" fillId="0" borderId="0" xfId="0" applyNumberFormat="1" applyFont="1" applyFill="1" applyBorder="1" applyAlignment="1"/>
    <xf numFmtId="182" fontId="35" fillId="0" borderId="0" xfId="0" applyNumberFormat="1" applyFont="1" applyFill="1" applyBorder="1" applyAlignment="1"/>
    <xf numFmtId="38" fontId="35" fillId="0" borderId="0" xfId="0" applyNumberFormat="1" applyFont="1" applyFill="1" applyBorder="1" applyAlignment="1"/>
    <xf numFmtId="182" fontId="35" fillId="0" borderId="0" xfId="1401" applyNumberFormat="1" applyFont="1" applyFill="1" applyBorder="1" applyAlignment="1"/>
    <xf numFmtId="38" fontId="61" fillId="0" borderId="0" xfId="0" applyNumberFormat="1" applyFont="1" applyAlignment="1">
      <alignment horizontal="left" vertical="center"/>
    </xf>
    <xf numFmtId="38" fontId="60" fillId="0" borderId="0" xfId="0" applyNumberFormat="1" applyFont="1" applyBorder="1" applyAlignment="1"/>
    <xf numFmtId="184" fontId="60" fillId="0" borderId="0" xfId="0" applyNumberFormat="1" applyFont="1" applyBorder="1" applyAlignment="1"/>
    <xf numFmtId="38" fontId="61" fillId="0" borderId="0" xfId="0" applyNumberFormat="1" applyFont="1" applyAlignment="1">
      <alignment vertical="center" wrapText="1"/>
    </xf>
    <xf numFmtId="38" fontId="61" fillId="0" borderId="0" xfId="0" applyNumberFormat="1" applyFont="1" applyBorder="1" applyAlignment="1"/>
    <xf numFmtId="38" fontId="35" fillId="4" borderId="0" xfId="0" applyNumberFormat="1" applyFont="1" applyFill="1" applyBorder="1" applyAlignment="1"/>
    <xf numFmtId="38" fontId="31" fillId="0" borderId="0" xfId="0" applyNumberFormat="1" applyFont="1" applyBorder="1" applyAlignment="1"/>
    <xf numFmtId="38" fontId="30" fillId="0" borderId="22" xfId="0" applyNumberFormat="1" applyFont="1" applyFill="1" applyBorder="1" applyAlignment="1"/>
    <xf numFmtId="38" fontId="30" fillId="0" borderId="17" xfId="0" applyNumberFormat="1" applyFont="1" applyFill="1" applyBorder="1" applyAlignment="1"/>
    <xf numFmtId="38" fontId="62" fillId="0" borderId="0" xfId="2118" applyNumberFormat="1" applyFont="1" applyFill="1" applyBorder="1" applyAlignment="1" applyProtection="1">
      <alignment horizontal="left"/>
    </xf>
    <xf numFmtId="38" fontId="63" fillId="0" borderId="0" xfId="2118" applyNumberFormat="1" applyFont="1" applyFill="1" applyBorder="1" applyAlignment="1" applyProtection="1">
      <alignment horizontal="left" vertical="center" wrapText="1"/>
    </xf>
    <xf numFmtId="38" fontId="31" fillId="0" borderId="17" xfId="0" applyNumberFormat="1" applyFont="1" applyBorder="1" applyAlignment="1"/>
    <xf numFmtId="38" fontId="31" fillId="0" borderId="0" xfId="0" applyNumberFormat="1" applyFont="1" applyAlignment="1"/>
    <xf numFmtId="38" fontId="31" fillId="4" borderId="0" xfId="0" applyNumberFormat="1" applyFont="1" applyFill="1" applyBorder="1" applyAlignment="1">
      <alignment horizontal="right"/>
    </xf>
    <xf numFmtId="38" fontId="40" fillId="4" borderId="0" xfId="0" applyNumberFormat="1" applyFont="1" applyFill="1" applyBorder="1" applyAlignment="1">
      <alignment horizontal="right"/>
    </xf>
    <xf numFmtId="38" fontId="30" fillId="10" borderId="0" xfId="0" applyNumberFormat="1" applyFont="1" applyFill="1" applyBorder="1" applyAlignment="1">
      <alignment horizontal="right" vertical="center"/>
    </xf>
    <xf numFmtId="38" fontId="30" fillId="0" borderId="0" xfId="0" applyNumberFormat="1" applyFont="1" applyFill="1" applyBorder="1" applyAlignment="1">
      <alignment horizontal="right" vertical="center"/>
    </xf>
    <xf numFmtId="38" fontId="30" fillId="0" borderId="0" xfId="0" applyNumberFormat="1" applyFont="1" applyFill="1" applyBorder="1" applyAlignment="1">
      <alignment horizontal="right"/>
    </xf>
    <xf numFmtId="9" fontId="35" fillId="4" borderId="21" xfId="1401" applyFont="1" applyFill="1" applyBorder="1" applyAlignment="1"/>
    <xf numFmtId="9" fontId="35" fillId="4" borderId="0" xfId="1401" applyFont="1" applyFill="1" applyBorder="1" applyAlignment="1"/>
    <xf numFmtId="185" fontId="50" fillId="4" borderId="21" xfId="1401" applyNumberFormat="1" applyFont="1" applyFill="1" applyBorder="1" applyAlignment="1"/>
    <xf numFmtId="182" fontId="31" fillId="4" borderId="0" xfId="1401" applyNumberFormat="1" applyFont="1" applyFill="1" applyBorder="1" applyAlignment="1"/>
    <xf numFmtId="182" fontId="31" fillId="0" borderId="0" xfId="1401" applyNumberFormat="1" applyFont="1" applyFill="1" applyBorder="1" applyAlignment="1"/>
    <xf numFmtId="182" fontId="31" fillId="4" borderId="0" xfId="1401" applyNumberFormat="1" applyFont="1" applyFill="1" applyAlignment="1"/>
    <xf numFmtId="185" fontId="35" fillId="4" borderId="23" xfId="1401" applyNumberFormat="1" applyFont="1" applyFill="1" applyBorder="1" applyAlignment="1">
      <alignment horizontal="left"/>
    </xf>
    <xf numFmtId="182" fontId="35" fillId="4" borderId="0" xfId="1401" applyNumberFormat="1" applyFont="1" applyFill="1" applyBorder="1" applyAlignment="1"/>
    <xf numFmtId="38" fontId="31" fillId="4" borderId="0" xfId="0" applyNumberFormat="1" applyFont="1" applyFill="1" applyBorder="1" applyAlignment="1">
      <alignment horizontal="left"/>
    </xf>
    <xf numFmtId="38" fontId="51" fillId="0" borderId="0" xfId="0" applyNumberFormat="1" applyFont="1" applyFill="1" applyBorder="1" applyAlignment="1">
      <alignment horizontal="right"/>
    </xf>
    <xf numFmtId="0" fontId="35" fillId="0" borderId="0" xfId="1401" applyNumberFormat="1" applyFont="1" applyFill="1" applyBorder="1" applyAlignment="1"/>
    <xf numFmtId="185" fontId="50" fillId="0" borderId="0" xfId="1401" applyNumberFormat="1" applyFont="1" applyFill="1" applyBorder="1" applyAlignment="1"/>
    <xf numFmtId="40" fontId="50" fillId="0" borderId="0" xfId="1401" applyNumberFormat="1" applyFont="1" applyFill="1" applyBorder="1" applyAlignment="1"/>
    <xf numFmtId="185" fontId="35" fillId="0" borderId="0" xfId="1401" applyNumberFormat="1" applyFont="1" applyFill="1" applyBorder="1" applyAlignment="1">
      <alignment horizontal="right"/>
    </xf>
    <xf numFmtId="185" fontId="35" fillId="0" borderId="0" xfId="1401" applyNumberFormat="1" applyFont="1" applyFill="1" applyBorder="1" applyAlignment="1">
      <alignment horizontal="left"/>
    </xf>
    <xf numFmtId="38" fontId="64" fillId="0" borderId="0" xfId="0" applyNumberFormat="1" applyFont="1" applyAlignment="1"/>
    <xf numFmtId="38" fontId="64" fillId="0" borderId="0" xfId="0" applyNumberFormat="1" applyFont="1" applyBorder="1" applyAlignment="1"/>
    <xf numFmtId="38" fontId="35" fillId="0" borderId="0" xfId="0" applyNumberFormat="1" applyFont="1" applyAlignment="1"/>
    <xf numFmtId="38" fontId="31" fillId="0" borderId="0" xfId="0" applyNumberFormat="1" applyFont="1" applyAlignment="1">
      <alignment vertical="center" wrapText="1"/>
    </xf>
    <xf numFmtId="38" fontId="11" fillId="0" borderId="22" xfId="0" applyNumberFormat="1" applyFont="1" applyFill="1" applyBorder="1" applyAlignment="1"/>
    <xf numFmtId="38" fontId="11" fillId="0" borderId="17" xfId="0" applyNumberFormat="1" applyFont="1" applyFill="1" applyBorder="1" applyAlignment="1"/>
    <xf numFmtId="0" fontId="18" fillId="0" borderId="0" xfId="2117" applyFont="1"/>
    <xf numFmtId="38" fontId="65" fillId="0" borderId="0" xfId="2118" applyNumberFormat="1" applyFont="1" applyFill="1" applyBorder="1" applyAlignment="1" applyProtection="1">
      <alignment horizontal="left"/>
    </xf>
    <xf numFmtId="0" fontId="11" fillId="0" borderId="0" xfId="2117" applyFont="1" applyAlignment="1">
      <alignment vertical="center"/>
    </xf>
    <xf numFmtId="0" fontId="11" fillId="0" borderId="0" xfId="2117" applyFont="1"/>
    <xf numFmtId="38" fontId="56" fillId="0" borderId="17" xfId="0" applyNumberFormat="1" applyFont="1" applyFill="1" applyBorder="1" applyAlignment="1"/>
    <xf numFmtId="0" fontId="51" fillId="4" borderId="0" xfId="2117" applyFont="1" applyFill="1" applyBorder="1" applyAlignment="1">
      <alignment horizontal="center" vertical="center"/>
    </xf>
    <xf numFmtId="0" fontId="46" fillId="4" borderId="0" xfId="2117" applyFont="1" applyFill="1" applyBorder="1" applyAlignment="1">
      <alignment horizontal="center" vertical="center"/>
    </xf>
    <xf numFmtId="0" fontId="14" fillId="0" borderId="0" xfId="2117" applyFont="1" applyBorder="1" applyAlignment="1">
      <alignment horizontal="right" vertical="center"/>
    </xf>
    <xf numFmtId="0" fontId="14" fillId="0" borderId="0" xfId="2117" applyFont="1" applyBorder="1" applyAlignment="1">
      <alignment vertical="center"/>
    </xf>
    <xf numFmtId="187" fontId="31" fillId="0" borderId="0" xfId="2117" applyNumberFormat="1" applyFont="1" applyBorder="1" applyAlignment="1">
      <alignment vertical="center"/>
    </xf>
    <xf numFmtId="41" fontId="31" fillId="0" borderId="0" xfId="1540" applyFont="1" applyBorder="1" applyAlignment="1">
      <alignment vertical="center"/>
    </xf>
    <xf numFmtId="179" fontId="31" fillId="0" borderId="0" xfId="1540" applyNumberFormat="1" applyFont="1" applyBorder="1" applyAlignment="1">
      <alignment vertical="center"/>
    </xf>
    <xf numFmtId="41" fontId="35" fillId="0" borderId="0" xfId="1540" applyFont="1" applyBorder="1" applyAlignment="1">
      <alignment vertical="center"/>
    </xf>
    <xf numFmtId="0" fontId="6" fillId="4" borderId="0" xfId="2117" applyFont="1" applyFill="1" applyBorder="1" applyAlignment="1">
      <alignment vertical="center"/>
    </xf>
    <xf numFmtId="0" fontId="40" fillId="4" borderId="0" xfId="2117" applyFont="1" applyFill="1" applyBorder="1" applyAlignment="1">
      <alignment vertical="center"/>
    </xf>
    <xf numFmtId="0" fontId="31" fillId="0" borderId="0" xfId="1540" applyNumberFormat="1" applyFont="1" applyBorder="1" applyAlignment="1">
      <alignment vertical="center"/>
    </xf>
    <xf numFmtId="179" fontId="35" fillId="0" borderId="0" xfId="1540" applyNumberFormat="1" applyFont="1" applyBorder="1" applyAlignment="1">
      <alignment vertical="center"/>
    </xf>
    <xf numFmtId="38" fontId="31" fillId="0" borderId="0" xfId="2117" applyNumberFormat="1" applyFont="1" applyBorder="1" applyAlignment="1">
      <alignment vertical="center"/>
    </xf>
    <xf numFmtId="38" fontId="6" fillId="0" borderId="0" xfId="0" applyNumberFormat="1" applyFont="1" applyBorder="1" applyAlignment="1">
      <alignment vertical="center"/>
    </xf>
    <xf numFmtId="38" fontId="56" fillId="4" borderId="17" xfId="0" applyNumberFormat="1" applyFont="1" applyFill="1" applyBorder="1" applyAlignment="1"/>
    <xf numFmtId="38" fontId="56" fillId="4" borderId="0" xfId="0" applyNumberFormat="1" applyFont="1" applyFill="1" applyBorder="1" applyAlignment="1"/>
    <xf numFmtId="0" fontId="67" fillId="4" borderId="0" xfId="2117" applyFont="1" applyFill="1" applyBorder="1" applyAlignment="1">
      <alignment horizontal="left" vertical="center"/>
    </xf>
    <xf numFmtId="38" fontId="40" fillId="4" borderId="0" xfId="0" applyNumberFormat="1" applyFont="1" applyFill="1" applyBorder="1" applyAlignment="1">
      <alignment horizontal="left" vertical="center"/>
    </xf>
    <xf numFmtId="0" fontId="31" fillId="4" borderId="0" xfId="2117" applyFont="1" applyFill="1" applyBorder="1" applyAlignment="1">
      <alignment horizontal="right" vertical="center"/>
    </xf>
    <xf numFmtId="0" fontId="40" fillId="4" borderId="0" xfId="2117" applyFont="1" applyFill="1" applyBorder="1" applyAlignment="1">
      <alignment horizontal="right" vertical="center"/>
    </xf>
    <xf numFmtId="187" fontId="31" fillId="4" borderId="0" xfId="2117" applyNumberFormat="1" applyFont="1" applyFill="1" applyBorder="1" applyAlignment="1">
      <alignment vertical="center"/>
    </xf>
    <xf numFmtId="38" fontId="31" fillId="4" borderId="0" xfId="1627" applyNumberFormat="1" applyFont="1" applyFill="1" applyBorder="1" applyAlignment="1">
      <alignment vertical="center"/>
    </xf>
    <xf numFmtId="0" fontId="58" fillId="4" borderId="0" xfId="2117" applyFont="1" applyFill="1" applyBorder="1" applyAlignment="1">
      <alignment vertical="center"/>
    </xf>
    <xf numFmtId="187" fontId="35" fillId="4" borderId="0" xfId="2117" applyNumberFormat="1" applyFont="1" applyFill="1" applyBorder="1" applyAlignment="1">
      <alignment vertical="center"/>
    </xf>
    <xf numFmtId="38" fontId="35" fillId="4" borderId="0" xfId="1627" applyNumberFormat="1" applyFont="1" applyFill="1" applyBorder="1" applyAlignment="1">
      <alignment vertical="center"/>
    </xf>
    <xf numFmtId="0" fontId="31" fillId="4" borderId="0" xfId="2117" applyFont="1" applyFill="1" applyBorder="1" applyAlignment="1">
      <alignment vertical="center"/>
    </xf>
    <xf numFmtId="38" fontId="31" fillId="4" borderId="0" xfId="2117" applyNumberFormat="1" applyFont="1" applyFill="1" applyBorder="1" applyAlignment="1">
      <alignment vertical="center"/>
    </xf>
    <xf numFmtId="0" fontId="14" fillId="4" borderId="0" xfId="2117" applyFont="1" applyFill="1" applyBorder="1" applyAlignment="1">
      <alignment vertical="center"/>
    </xf>
    <xf numFmtId="38" fontId="14" fillId="4" borderId="0" xfId="2117" applyNumberFormat="1" applyFont="1" applyFill="1" applyBorder="1" applyAlignment="1">
      <alignment vertical="center"/>
    </xf>
    <xf numFmtId="38" fontId="6" fillId="4" borderId="0" xfId="0" applyNumberFormat="1" applyFont="1" applyFill="1" applyBorder="1" applyAlignment="1">
      <alignment vertical="center"/>
    </xf>
    <xf numFmtId="0" fontId="22" fillId="4" borderId="0" xfId="2118" applyNumberFormat="1" applyFont="1" applyFill="1" applyBorder="1" applyAlignment="1" applyProtection="1">
      <alignment horizontal="left" vertical="center"/>
    </xf>
    <xf numFmtId="38" fontId="65" fillId="4" borderId="0" xfId="2118" applyNumberFormat="1" applyFont="1" applyFill="1" applyBorder="1" applyAlignment="1" applyProtection="1">
      <alignment horizontal="left"/>
    </xf>
    <xf numFmtId="0" fontId="11" fillId="4" borderId="0" xfId="2117" applyFont="1" applyFill="1" applyBorder="1" applyAlignment="1">
      <alignment vertical="center"/>
    </xf>
    <xf numFmtId="0" fontId="27" fillId="4" borderId="0" xfId="2117" applyFont="1" applyFill="1" applyBorder="1"/>
    <xf numFmtId="0" fontId="11" fillId="4" borderId="0" xfId="2117" applyFont="1" applyFill="1" applyBorder="1"/>
    <xf numFmtId="0" fontId="35" fillId="4" borderId="0" xfId="2117" applyFont="1" applyFill="1" applyBorder="1" applyAlignment="1">
      <alignment horizontal="left" vertical="center"/>
    </xf>
    <xf numFmtId="41" fontId="31" fillId="4" borderId="0" xfId="1540" applyFont="1" applyFill="1" applyBorder="1" applyAlignment="1">
      <alignment vertical="center"/>
    </xf>
    <xf numFmtId="41" fontId="35" fillId="4" borderId="0" xfId="1540" applyFont="1" applyFill="1" applyBorder="1" applyAlignment="1">
      <alignment vertical="center"/>
    </xf>
    <xf numFmtId="0" fontId="14" fillId="4" borderId="0" xfId="2117" applyFont="1" applyFill="1" applyBorder="1"/>
    <xf numFmtId="0" fontId="68" fillId="0" borderId="22" xfId="2118" applyNumberFormat="1" applyFont="1" applyFill="1" applyBorder="1" applyAlignment="1" applyProtection="1">
      <alignment horizontal="left" vertical="center"/>
    </xf>
    <xf numFmtId="38" fontId="49" fillId="0" borderId="0" xfId="0" applyNumberFormat="1" applyFont="1" applyFill="1" applyBorder="1" applyAlignment="1"/>
    <xf numFmtId="38" fontId="31" fillId="0" borderId="17" xfId="0" applyNumberFormat="1" applyFont="1" applyFill="1" applyBorder="1" applyAlignment="1"/>
    <xf numFmtId="38" fontId="49" fillId="0" borderId="0" xfId="0" applyNumberFormat="1" applyFont="1" applyAlignment="1"/>
    <xf numFmtId="38" fontId="5" fillId="0" borderId="0" xfId="0" applyNumberFormat="1" applyFont="1" applyBorder="1" applyAlignment="1"/>
    <xf numFmtId="38" fontId="42" fillId="4" borderId="0" xfId="0" applyNumberFormat="1" applyFont="1" applyFill="1" applyBorder="1" applyAlignment="1"/>
    <xf numFmtId="38" fontId="70" fillId="0" borderId="0" xfId="0" applyNumberFormat="1" applyFont="1" applyBorder="1" applyAlignment="1"/>
    <xf numFmtId="38" fontId="49" fillId="0" borderId="0" xfId="0" applyNumberFormat="1" applyFont="1" applyBorder="1" applyAlignment="1"/>
    <xf numFmtId="38" fontId="48" fillId="4" borderId="0" xfId="0" applyNumberFormat="1" applyFont="1" applyFill="1" applyBorder="1" applyAlignment="1">
      <alignment horizontal="center"/>
    </xf>
    <xf numFmtId="38" fontId="49" fillId="4" borderId="0" xfId="0" applyNumberFormat="1" applyFont="1" applyFill="1" applyBorder="1" applyAlignment="1">
      <alignment horizontal="left" indent="1"/>
    </xf>
    <xf numFmtId="38" fontId="49" fillId="4" borderId="0" xfId="0" applyNumberFormat="1" applyFont="1" applyFill="1" applyBorder="1" applyAlignment="1"/>
    <xf numFmtId="182" fontId="49" fillId="4" borderId="0" xfId="0" applyNumberFormat="1" applyFont="1" applyFill="1" applyBorder="1" applyAlignment="1"/>
    <xf numFmtId="189" fontId="31" fillId="0" borderId="0" xfId="0" applyNumberFormat="1" applyFont="1" applyAlignment="1"/>
    <xf numFmtId="38" fontId="40" fillId="0" borderId="0" xfId="0" applyNumberFormat="1" applyFont="1" applyBorder="1" applyAlignment="1">
      <alignment horizontal="left" vertical="center"/>
    </xf>
    <xf numFmtId="38" fontId="50" fillId="0" borderId="17" xfId="0" applyNumberFormat="1" applyFont="1" applyBorder="1" applyAlignment="1">
      <alignment horizontal="left" vertical="center"/>
    </xf>
    <xf numFmtId="38" fontId="50" fillId="0" borderId="0" xfId="0" applyNumberFormat="1" applyFont="1" applyAlignment="1">
      <alignment horizontal="left" vertical="center"/>
    </xf>
    <xf numFmtId="38" fontId="71" fillId="0" borderId="0" xfId="0" applyNumberFormat="1" applyFont="1" applyAlignment="1">
      <alignment horizontal="left" vertical="center"/>
    </xf>
    <xf numFmtId="38" fontId="48" fillId="0" borderId="0" xfId="0" applyNumberFormat="1" applyFont="1" applyAlignment="1"/>
    <xf numFmtId="0" fontId="72" fillId="0" borderId="22" xfId="0" applyNumberFormat="1" applyFont="1" applyFill="1" applyBorder="1" applyAlignment="1">
      <alignment horizontal="center" vertical="center"/>
    </xf>
    <xf numFmtId="0" fontId="48" fillId="0" borderId="22" xfId="0" applyNumberFormat="1" applyFont="1" applyFill="1" applyBorder="1" applyAlignment="1">
      <alignment horizontal="center" vertical="center"/>
    </xf>
    <xf numFmtId="38" fontId="49" fillId="0" borderId="22" xfId="0" applyNumberFormat="1" applyFont="1" applyFill="1" applyBorder="1" applyAlignment="1"/>
    <xf numFmtId="38" fontId="31" fillId="4" borderId="17" xfId="0" applyNumberFormat="1" applyFont="1" applyFill="1" applyBorder="1" applyAlignment="1">
      <alignment horizontal="right"/>
    </xf>
    <xf numFmtId="38" fontId="30" fillId="0" borderId="17" xfId="0" applyNumberFormat="1" applyFont="1" applyFill="1" applyBorder="1" applyAlignment="1">
      <alignment horizontal="right"/>
    </xf>
    <xf numFmtId="38" fontId="73" fillId="4" borderId="0" xfId="0" applyNumberFormat="1" applyFont="1" applyFill="1" applyBorder="1" applyAlignment="1"/>
    <xf numFmtId="38" fontId="70" fillId="4" borderId="0" xfId="0" applyNumberFormat="1" applyFont="1" applyFill="1" applyBorder="1" applyAlignment="1"/>
    <xf numFmtId="38" fontId="73" fillId="0" borderId="0" xfId="0" applyNumberFormat="1" applyFont="1" applyBorder="1" applyAlignment="1"/>
    <xf numFmtId="182" fontId="31" fillId="4" borderId="17" xfId="1401" applyNumberFormat="1" applyFont="1" applyFill="1" applyBorder="1" applyAlignment="1"/>
    <xf numFmtId="189" fontId="49" fillId="4" borderId="0" xfId="1401" applyNumberFormat="1" applyFont="1" applyFill="1" applyAlignment="1"/>
    <xf numFmtId="38" fontId="74" fillId="0" borderId="0" xfId="0" applyNumberFormat="1" applyFont="1" applyAlignment="1"/>
    <xf numFmtId="182" fontId="35" fillId="4" borderId="17" xfId="1401" applyNumberFormat="1" applyFont="1" applyFill="1" applyBorder="1" applyAlignment="1"/>
    <xf numFmtId="182" fontId="31" fillId="4" borderId="8" xfId="1401" applyNumberFormat="1" applyFont="1" applyFill="1" applyBorder="1" applyAlignment="1"/>
    <xf numFmtId="38" fontId="31" fillId="4" borderId="0" xfId="0" applyNumberFormat="1" applyFont="1" applyFill="1" applyBorder="1" applyAlignment="1">
      <alignment horizontal="left" indent="1"/>
    </xf>
    <xf numFmtId="38" fontId="30" fillId="0" borderId="0" xfId="0" applyNumberFormat="1" applyFont="1" applyBorder="1" applyAlignment="1"/>
    <xf numFmtId="38" fontId="31" fillId="4" borderId="0" xfId="0" applyNumberFormat="1" applyFont="1" applyFill="1" applyAlignment="1">
      <alignment horizontal="right"/>
    </xf>
    <xf numFmtId="182" fontId="31" fillId="4" borderId="0" xfId="0" applyNumberFormat="1" applyFont="1" applyFill="1" applyBorder="1" applyAlignment="1"/>
    <xf numFmtId="38" fontId="31" fillId="4" borderId="0" xfId="0" applyNumberFormat="1" applyFont="1" applyFill="1" applyAlignment="1"/>
    <xf numFmtId="0" fontId="22" fillId="0" borderId="0" xfId="2118" applyNumberFormat="1" applyFont="1" applyFill="1" applyAlignment="1" applyProtection="1">
      <alignment vertical="center"/>
    </xf>
    <xf numFmtId="38" fontId="3" fillId="0" borderId="17" xfId="0" applyNumberFormat="1" applyFont="1" applyFill="1" applyBorder="1" applyAlignment="1"/>
    <xf numFmtId="38" fontId="48" fillId="4" borderId="23" xfId="0" applyNumberFormat="1" applyFont="1" applyFill="1" applyBorder="1" applyAlignment="1">
      <alignment vertical="center"/>
    </xf>
    <xf numFmtId="38" fontId="54" fillId="4" borderId="0" xfId="0" applyNumberFormat="1" applyFont="1" applyFill="1" applyBorder="1" applyAlignment="1"/>
    <xf numFmtId="38" fontId="31" fillId="4" borderId="0" xfId="0" applyNumberFormat="1" applyFont="1" applyFill="1" applyBorder="1" applyAlignment="1">
      <alignment vertical="center"/>
    </xf>
    <xf numFmtId="41" fontId="31" fillId="4" borderId="0" xfId="1540" applyFont="1" applyFill="1" applyBorder="1" applyAlignment="1">
      <alignment horizontal="right" vertical="center"/>
    </xf>
    <xf numFmtId="38" fontId="3" fillId="4" borderId="0" xfId="0" applyNumberFormat="1" applyFont="1" applyFill="1" applyBorder="1" applyAlignment="1"/>
    <xf numFmtId="38" fontId="64" fillId="0" borderId="0" xfId="0" applyNumberFormat="1" applyFont="1" applyAlignment="1">
      <alignment horizontal="right"/>
    </xf>
    <xf numFmtId="38" fontId="49" fillId="0" borderId="0" xfId="0" applyNumberFormat="1" applyFont="1" applyAlignment="1">
      <alignment horizontal="right"/>
    </xf>
    <xf numFmtId="38" fontId="31" fillId="0" borderId="0" xfId="0" applyNumberFormat="1" applyFont="1" applyAlignment="1">
      <alignment horizontal="right"/>
    </xf>
    <xf numFmtId="190" fontId="31" fillId="0" borderId="18" xfId="1626" applyNumberFormat="1" applyFont="1" applyBorder="1" applyAlignment="1">
      <alignment horizontal="right" vertical="center"/>
    </xf>
    <xf numFmtId="191" fontId="35" fillId="0" borderId="24" xfId="1626" applyNumberFormat="1" applyFont="1" applyBorder="1" applyAlignment="1">
      <alignment horizontal="right" vertical="center"/>
    </xf>
    <xf numFmtId="190" fontId="31" fillId="0" borderId="25" xfId="1626" applyNumberFormat="1" applyFont="1" applyBorder="1" applyAlignment="1">
      <alignment horizontal="right" vertical="center"/>
    </xf>
    <xf numFmtId="190" fontId="31" fillId="0" borderId="21" xfId="1626" applyNumberFormat="1" applyFont="1" applyBorder="1" applyAlignment="1">
      <alignment horizontal="right" vertical="center"/>
    </xf>
    <xf numFmtId="190" fontId="31" fillId="0" borderId="26" xfId="1626" applyNumberFormat="1" applyFont="1" applyBorder="1" applyAlignment="1">
      <alignment horizontal="right" vertical="center"/>
    </xf>
    <xf numFmtId="190" fontId="31" fillId="0" borderId="21" xfId="1626" applyNumberFormat="1" applyFont="1" applyFill="1" applyBorder="1" applyAlignment="1">
      <alignment horizontal="right" vertical="center"/>
    </xf>
    <xf numFmtId="190" fontId="31" fillId="0" borderId="26" xfId="1626" applyNumberFormat="1" applyFont="1" applyFill="1" applyBorder="1" applyAlignment="1">
      <alignment horizontal="right" vertical="center"/>
    </xf>
    <xf numFmtId="190" fontId="31" fillId="0" borderId="23" xfId="1626" applyNumberFormat="1" applyFont="1" applyBorder="1" applyAlignment="1">
      <alignment horizontal="right" vertical="center"/>
    </xf>
    <xf numFmtId="190" fontId="31" fillId="0" borderId="27" xfId="1626" applyNumberFormat="1" applyFont="1" applyBorder="1" applyAlignment="1">
      <alignment horizontal="right" vertical="center"/>
    </xf>
    <xf numFmtId="191" fontId="35" fillId="0" borderId="28" xfId="2117" applyNumberFormat="1" applyFont="1" applyBorder="1" applyAlignment="1">
      <alignment horizontal="right" vertical="center"/>
    </xf>
    <xf numFmtId="190" fontId="31" fillId="0" borderId="21" xfId="2117" applyNumberFormat="1" applyFont="1" applyFill="1" applyBorder="1" applyAlignment="1">
      <alignment horizontal="right" vertical="center"/>
    </xf>
    <xf numFmtId="191" fontId="35" fillId="0" borderId="29" xfId="2117" applyNumberFormat="1" applyFont="1" applyFill="1" applyBorder="1" applyAlignment="1">
      <alignment horizontal="right" vertical="center"/>
    </xf>
    <xf numFmtId="190" fontId="31" fillId="0" borderId="26" xfId="2117" applyNumberFormat="1" applyFont="1" applyFill="1" applyBorder="1" applyAlignment="1">
      <alignment horizontal="right" vertical="center"/>
    </xf>
    <xf numFmtId="190" fontId="31" fillId="0" borderId="21" xfId="1540" applyNumberFormat="1" applyFont="1" applyFill="1" applyBorder="1" applyAlignment="1">
      <alignment horizontal="right" vertical="center"/>
    </xf>
    <xf numFmtId="191" fontId="35" fillId="0" borderId="29" xfId="1626" applyNumberFormat="1" applyFont="1" applyFill="1" applyBorder="1" applyAlignment="1">
      <alignment horizontal="right" vertical="center"/>
    </xf>
    <xf numFmtId="190" fontId="31" fillId="0" borderId="26" xfId="1540" applyNumberFormat="1" applyFont="1" applyFill="1" applyBorder="1" applyAlignment="1">
      <alignment horizontal="right" vertical="center"/>
    </xf>
    <xf numFmtId="190" fontId="31" fillId="0" borderId="30" xfId="1540" applyNumberFormat="1" applyFont="1" applyBorder="1" applyAlignment="1">
      <alignment horizontal="right" vertical="center"/>
    </xf>
    <xf numFmtId="191" fontId="35" fillId="0" borderId="31" xfId="1540" applyNumberFormat="1" applyFont="1" applyBorder="1" applyAlignment="1">
      <alignment horizontal="right" vertical="center"/>
    </xf>
    <xf numFmtId="190" fontId="31" fillId="0" borderId="32" xfId="1540" applyNumberFormat="1" applyFont="1" applyBorder="1" applyAlignment="1">
      <alignment horizontal="right" vertical="center"/>
    </xf>
    <xf numFmtId="41" fontId="35" fillId="0" borderId="0" xfId="1540" applyFont="1" applyFill="1" applyBorder="1" applyAlignment="1">
      <alignment vertical="center"/>
    </xf>
    <xf numFmtId="0" fontId="14" fillId="0" borderId="0" xfId="2117" applyFont="1" applyFill="1" applyBorder="1" applyAlignment="1">
      <alignment vertical="center"/>
    </xf>
    <xf numFmtId="43" fontId="31" fillId="0" borderId="0" xfId="2117" applyNumberFormat="1" applyFont="1" applyFill="1" applyBorder="1" applyAlignment="1">
      <alignment vertical="center"/>
    </xf>
    <xf numFmtId="38" fontId="75" fillId="0" borderId="22" xfId="0" applyNumberFormat="1" applyFont="1" applyFill="1" applyBorder="1" applyAlignment="1"/>
    <xf numFmtId="38" fontId="75" fillId="0" borderId="0" xfId="0" applyNumberFormat="1" applyFont="1" applyFill="1" applyBorder="1" applyAlignment="1"/>
    <xf numFmtId="38" fontId="11" fillId="0" borderId="33" xfId="0" applyNumberFormat="1" applyFont="1" applyFill="1" applyBorder="1" applyAlignment="1"/>
    <xf numFmtId="0" fontId="35" fillId="0" borderId="0" xfId="2117" applyFont="1" applyBorder="1" applyAlignment="1">
      <alignment horizontal="left" vertical="center"/>
    </xf>
    <xf numFmtId="38" fontId="76" fillId="0" borderId="0" xfId="0" applyNumberFormat="1" applyFont="1" applyFill="1" applyBorder="1" applyAlignment="1">
      <alignment vertical="top"/>
    </xf>
    <xf numFmtId="0" fontId="31" fillId="0" borderId="0" xfId="2117" applyFont="1" applyFill="1" applyBorder="1" applyAlignment="1">
      <alignment vertical="center"/>
    </xf>
    <xf numFmtId="38" fontId="56" fillId="0" borderId="0" xfId="2117" applyNumberFormat="1" applyFont="1" applyFill="1" applyBorder="1" applyAlignment="1">
      <alignment vertical="center"/>
    </xf>
    <xf numFmtId="0" fontId="56" fillId="0" borderId="0" xfId="2117" applyFont="1" applyFill="1" applyBorder="1" applyAlignment="1">
      <alignment vertical="center"/>
    </xf>
    <xf numFmtId="38" fontId="56" fillId="0" borderId="0" xfId="1627" applyNumberFormat="1" applyFont="1" applyFill="1" applyBorder="1" applyAlignment="1">
      <alignment vertical="center"/>
    </xf>
    <xf numFmtId="38" fontId="55" fillId="0" borderId="0" xfId="1627" applyNumberFormat="1" applyFont="1" applyFill="1" applyBorder="1" applyAlignment="1">
      <alignment vertical="center"/>
    </xf>
    <xf numFmtId="0" fontId="56" fillId="0" borderId="0" xfId="2117" applyFont="1" applyBorder="1" applyAlignment="1">
      <alignment vertical="center"/>
    </xf>
    <xf numFmtId="38" fontId="77" fillId="0" borderId="0" xfId="2117" applyNumberFormat="1" applyFont="1" applyBorder="1" applyAlignment="1">
      <alignment vertical="center"/>
    </xf>
    <xf numFmtId="0" fontId="77" fillId="0" borderId="0" xfId="2117" applyFont="1" applyBorder="1" applyAlignment="1">
      <alignment vertical="center"/>
    </xf>
    <xf numFmtId="38" fontId="77" fillId="0" borderId="0" xfId="2117" applyNumberFormat="1" applyFont="1" applyFill="1" applyBorder="1" applyAlignment="1">
      <alignment vertical="center"/>
    </xf>
    <xf numFmtId="0" fontId="77" fillId="0" borderId="0" xfId="2117" applyFont="1" applyFill="1" applyBorder="1" applyAlignment="1">
      <alignment vertical="center"/>
    </xf>
    <xf numFmtId="0" fontId="41" fillId="0" borderId="0" xfId="2117" applyFont="1"/>
    <xf numFmtId="38" fontId="77" fillId="0" borderId="0" xfId="0" applyNumberFormat="1" applyFont="1" applyFill="1" applyBorder="1" applyAlignment="1"/>
    <xf numFmtId="184" fontId="31" fillId="0" borderId="0" xfId="2117" applyNumberFormat="1" applyFont="1" applyBorder="1" applyAlignment="1">
      <alignment vertical="center"/>
    </xf>
    <xf numFmtId="184" fontId="31" fillId="0" borderId="0" xfId="2117" applyNumberFormat="1" applyFont="1" applyFill="1" applyBorder="1" applyAlignment="1">
      <alignment vertical="center"/>
    </xf>
    <xf numFmtId="184" fontId="31" fillId="0" borderId="0" xfId="2117" applyNumberFormat="1" applyFont="1" applyAlignment="1">
      <alignment vertical="center"/>
    </xf>
    <xf numFmtId="184" fontId="11" fillId="0" borderId="0" xfId="0" applyNumberFormat="1" applyFont="1" applyFill="1" applyBorder="1" applyAlignment="1"/>
    <xf numFmtId="184" fontId="11" fillId="0" borderId="0" xfId="2117" applyNumberFormat="1" applyFont="1" applyAlignment="1">
      <alignment vertical="center"/>
    </xf>
    <xf numFmtId="184" fontId="14" fillId="0" borderId="0" xfId="2117" applyNumberFormat="1" applyFont="1" applyBorder="1" applyAlignment="1">
      <alignment horizontal="right" vertical="center"/>
    </xf>
    <xf numFmtId="0" fontId="29" fillId="10" borderId="0" xfId="2117" applyFont="1" applyFill="1" applyBorder="1" applyAlignment="1">
      <alignment horizontal="right" vertical="center"/>
    </xf>
    <xf numFmtId="0" fontId="29" fillId="10" borderId="0" xfId="2117" applyFont="1" applyFill="1" applyBorder="1" applyAlignment="1">
      <alignment vertical="center"/>
    </xf>
    <xf numFmtId="187" fontId="14" fillId="0" borderId="0" xfId="2117" applyNumberFormat="1" applyFont="1" applyBorder="1" applyAlignment="1">
      <alignment vertical="center"/>
    </xf>
    <xf numFmtId="9" fontId="11" fillId="0" borderId="0" xfId="1417" applyFont="1" applyFill="1" applyBorder="1"/>
    <xf numFmtId="187" fontId="9" fillId="0" borderId="0" xfId="2117" applyNumberFormat="1" applyFont="1" applyBorder="1" applyAlignment="1">
      <alignment vertical="center"/>
    </xf>
    <xf numFmtId="183" fontId="78" fillId="0" borderId="0" xfId="1548" applyNumberFormat="1" applyFont="1" applyBorder="1" applyAlignment="1">
      <alignment vertical="center"/>
    </xf>
    <xf numFmtId="0" fontId="7" fillId="4" borderId="0" xfId="2117" applyFont="1" applyFill="1" applyBorder="1" applyAlignment="1">
      <alignment vertical="center"/>
    </xf>
    <xf numFmtId="0" fontId="11" fillId="0" borderId="0" xfId="2117" applyFont="1" applyBorder="1" applyAlignment="1">
      <alignment vertical="center"/>
    </xf>
    <xf numFmtId="38" fontId="14" fillId="0" borderId="17" xfId="0" applyNumberFormat="1" applyFont="1" applyFill="1" applyBorder="1" applyAlignment="1"/>
    <xf numFmtId="38" fontId="14" fillId="0" borderId="0" xfId="0" applyNumberFormat="1" applyFont="1" applyFill="1" applyBorder="1" applyAlignment="1">
      <alignment horizontal="right" vertical="center"/>
    </xf>
    <xf numFmtId="0" fontId="29" fillId="4" borderId="0" xfId="2117" applyFont="1" applyFill="1" applyBorder="1" applyAlignment="1">
      <alignment horizontal="center" vertical="center"/>
    </xf>
    <xf numFmtId="187" fontId="79" fillId="0" borderId="0" xfId="2117" applyNumberFormat="1" applyFont="1" applyBorder="1" applyAlignment="1">
      <alignment vertical="center"/>
    </xf>
    <xf numFmtId="38" fontId="9" fillId="0" borderId="17" xfId="0" applyNumberFormat="1" applyFont="1" applyFill="1" applyBorder="1" applyAlignment="1"/>
    <xf numFmtId="38" fontId="9" fillId="0" borderId="0" xfId="0" applyNumberFormat="1" applyFont="1" applyFill="1" applyBorder="1" applyAlignment="1"/>
    <xf numFmtId="187" fontId="78" fillId="0" borderId="0" xfId="2117" applyNumberFormat="1" applyFont="1" applyBorder="1" applyAlignment="1">
      <alignment vertical="center"/>
    </xf>
    <xf numFmtId="192" fontId="9" fillId="0" borderId="36" xfId="1540" applyNumberFormat="1" applyFont="1" applyBorder="1" applyAlignment="1">
      <alignment vertical="center"/>
    </xf>
    <xf numFmtId="41" fontId="79" fillId="0" borderId="0" xfId="1540" applyFont="1" applyBorder="1" applyAlignment="1">
      <alignment vertical="center"/>
    </xf>
    <xf numFmtId="41" fontId="79" fillId="0" borderId="18" xfId="1540" applyFont="1" applyBorder="1" applyAlignment="1">
      <alignment vertical="center"/>
    </xf>
    <xf numFmtId="38" fontId="31" fillId="0" borderId="0" xfId="0" applyNumberFormat="1" applyFont="1" applyBorder="1" applyAlignment="1">
      <alignment vertical="center"/>
    </xf>
    <xf numFmtId="187" fontId="74" fillId="0" borderId="0" xfId="2117" applyNumberFormat="1" applyFont="1" applyBorder="1" applyAlignment="1">
      <alignment vertical="center"/>
    </xf>
    <xf numFmtId="38" fontId="74" fillId="0" borderId="0" xfId="2117" applyNumberFormat="1" applyFont="1" applyBorder="1" applyAlignment="1">
      <alignment vertical="center"/>
    </xf>
    <xf numFmtId="38" fontId="40" fillId="0" borderId="0" xfId="0" applyNumberFormat="1" applyFont="1" applyBorder="1" applyAlignment="1">
      <alignment vertical="center"/>
    </xf>
    <xf numFmtId="38" fontId="14" fillId="4" borderId="0" xfId="0" applyNumberFormat="1" applyFont="1" applyFill="1" applyBorder="1" applyAlignment="1"/>
    <xf numFmtId="187" fontId="14" fillId="4" borderId="0" xfId="2117" applyNumberFormat="1" applyFont="1" applyFill="1" applyBorder="1" applyAlignment="1">
      <alignment vertical="center"/>
    </xf>
    <xf numFmtId="38" fontId="30" fillId="10" borderId="0" xfId="0" applyNumberFormat="1" applyFont="1" applyFill="1" applyBorder="1" applyAlignment="1">
      <alignment vertical="center"/>
    </xf>
    <xf numFmtId="182" fontId="35" fillId="0" borderId="37" xfId="1417" applyNumberFormat="1" applyFont="1" applyFill="1" applyBorder="1" applyAlignment="1">
      <alignment horizontal="center" vertical="center"/>
    </xf>
    <xf numFmtId="182" fontId="35" fillId="0" borderId="21" xfId="1417" applyNumberFormat="1" applyFont="1" applyFill="1" applyBorder="1" applyAlignment="1">
      <alignment horizontal="center" vertical="center"/>
    </xf>
    <xf numFmtId="182" fontId="35" fillId="0" borderId="23" xfId="1417" applyNumberFormat="1" applyFont="1" applyBorder="1" applyAlignment="1">
      <alignment horizontal="center" vertical="center"/>
    </xf>
    <xf numFmtId="38" fontId="35" fillId="0" borderId="0" xfId="2117" applyNumberFormat="1" applyFont="1" applyBorder="1" applyAlignment="1">
      <alignment vertical="center"/>
    </xf>
    <xf numFmtId="0" fontId="22" fillId="0" borderId="22" xfId="2118" applyNumberFormat="1" applyFont="1" applyFill="1" applyBorder="1" applyAlignment="1" applyProtection="1">
      <alignment vertical="center"/>
    </xf>
    <xf numFmtId="38" fontId="31" fillId="0" borderId="17" xfId="0" applyNumberFormat="1" applyFont="1" applyFill="1" applyBorder="1" applyAlignment="1">
      <alignment horizontal="left"/>
    </xf>
    <xf numFmtId="38" fontId="31" fillId="0" borderId="0" xfId="0" applyNumberFormat="1" applyFont="1" applyFill="1" applyBorder="1" applyAlignment="1">
      <alignment horizontal="left"/>
    </xf>
    <xf numFmtId="182" fontId="31" fillId="0" borderId="0" xfId="1417" applyNumberFormat="1" applyFont="1" applyFill="1" applyBorder="1" applyAlignment="1">
      <alignment horizontal="left"/>
    </xf>
    <xf numFmtId="193" fontId="31" fillId="0" borderId="0" xfId="0" applyNumberFormat="1" applyFont="1" applyFill="1" applyBorder="1" applyAlignment="1"/>
    <xf numFmtId="38" fontId="80" fillId="0" borderId="0" xfId="0" applyNumberFormat="1" applyFont="1" applyFill="1" applyBorder="1" applyAlignment="1"/>
    <xf numFmtId="38" fontId="31" fillId="0" borderId="0" xfId="0" applyNumberFormat="1" applyFont="1" applyAlignment="1">
      <alignment horizontal="left" vertical="center"/>
    </xf>
    <xf numFmtId="0" fontId="20" fillId="0" borderId="38" xfId="2118" applyNumberFormat="1" applyFont="1" applyFill="1" applyBorder="1" applyAlignment="1" applyProtection="1">
      <alignment vertical="center"/>
    </xf>
    <xf numFmtId="0" fontId="20" fillId="0" borderId="39" xfId="2118" applyNumberFormat="1" applyFont="1" applyFill="1" applyBorder="1" applyAlignment="1" applyProtection="1">
      <alignment vertical="center"/>
    </xf>
    <xf numFmtId="0" fontId="10" fillId="0" borderId="0" xfId="2114" applyFont="1" applyBorder="1"/>
    <xf numFmtId="0" fontId="10" fillId="0" borderId="17" xfId="2114" applyFont="1" applyFill="1" applyBorder="1"/>
    <xf numFmtId="0" fontId="10" fillId="0" borderId="0" xfId="2114" applyFont="1" applyFill="1" applyBorder="1"/>
    <xf numFmtId="0" fontId="20" fillId="0" borderId="0" xfId="2118" applyNumberFormat="1" applyFont="1" applyFill="1" applyAlignment="1" applyProtection="1">
      <alignment horizontal="left" vertical="center"/>
    </xf>
    <xf numFmtId="0" fontId="10" fillId="4" borderId="17" xfId="2114" applyFont="1" applyFill="1" applyBorder="1"/>
    <xf numFmtId="0" fontId="22" fillId="0" borderId="0" xfId="2118" applyNumberFormat="1" applyFont="1" applyFill="1" applyAlignment="1" applyProtection="1">
      <alignment horizontal="left" vertical="center"/>
    </xf>
    <xf numFmtId="0" fontId="10" fillId="0" borderId="17" xfId="2114" applyFont="1" applyBorder="1"/>
    <xf numFmtId="0" fontId="81" fillId="0" borderId="0" xfId="2114" applyFont="1" applyBorder="1" applyAlignment="1">
      <alignment horizontal="left" indent="1"/>
    </xf>
    <xf numFmtId="0" fontId="44" fillId="0" borderId="0" xfId="2115" applyFont="1" applyFill="1" applyBorder="1" applyAlignment="1">
      <alignment vertical="center"/>
    </xf>
    <xf numFmtId="0" fontId="21" fillId="0" borderId="17" xfId="2115" applyFont="1" applyBorder="1" applyAlignment="1">
      <alignment vertical="center" wrapText="1"/>
    </xf>
    <xf numFmtId="0" fontId="21" fillId="0" borderId="0" xfId="2115" applyFont="1" applyBorder="1" applyAlignment="1">
      <alignment vertical="center" wrapText="1"/>
    </xf>
    <xf numFmtId="0" fontId="82" fillId="0" borderId="0" xfId="2115" applyFont="1" applyFill="1" applyBorder="1" applyAlignment="1">
      <alignment vertical="center"/>
    </xf>
    <xf numFmtId="0" fontId="83" fillId="0" borderId="17" xfId="2114" applyFont="1" applyBorder="1" applyAlignment="1">
      <alignment vertical="center"/>
    </xf>
    <xf numFmtId="0" fontId="83" fillId="0" borderId="0" xfId="2114" applyFont="1" applyBorder="1" applyAlignment="1">
      <alignment vertical="center"/>
    </xf>
    <xf numFmtId="38" fontId="9" fillId="0" borderId="21" xfId="1628" applyNumberFormat="1" applyFont="1" applyFill="1" applyBorder="1" applyAlignment="1">
      <alignment vertical="center"/>
    </xf>
    <xf numFmtId="38" fontId="14" fillId="0" borderId="21" xfId="1628" applyNumberFormat="1" applyFont="1" applyFill="1" applyBorder="1" applyAlignment="1">
      <alignment vertical="center"/>
    </xf>
    <xf numFmtId="0" fontId="84" fillId="0" borderId="17" xfId="2114" applyFont="1" applyBorder="1" applyAlignment="1">
      <alignment vertical="center"/>
    </xf>
    <xf numFmtId="0" fontId="84" fillId="0" borderId="0" xfId="2114" applyFont="1" applyBorder="1" applyAlignment="1">
      <alignment vertical="center"/>
    </xf>
    <xf numFmtId="38" fontId="79" fillId="0" borderId="0" xfId="1628" applyNumberFormat="1" applyFont="1" applyFill="1" applyBorder="1" applyAlignment="1">
      <alignment vertical="center"/>
    </xf>
    <xf numFmtId="0" fontId="85" fillId="0" borderId="0" xfId="2114" applyFont="1" applyBorder="1" applyAlignment="1">
      <alignment vertical="center"/>
    </xf>
    <xf numFmtId="0" fontId="14" fillId="0" borderId="17" xfId="2114" applyFont="1" applyBorder="1"/>
    <xf numFmtId="0" fontId="14" fillId="0" borderId="0" xfId="2114" applyFont="1" applyBorder="1"/>
    <xf numFmtId="0" fontId="24" fillId="0" borderId="0" xfId="2114" applyFont="1" applyBorder="1" applyAlignment="1">
      <alignment horizontal="left" indent="1"/>
    </xf>
    <xf numFmtId="0" fontId="59" fillId="0" borderId="0" xfId="2114" applyFont="1" applyBorder="1" applyAlignment="1">
      <alignment horizontal="left" indent="1"/>
    </xf>
    <xf numFmtId="41" fontId="59" fillId="0" borderId="0" xfId="1628" applyFont="1" applyFill="1" applyBorder="1" applyAlignment="1">
      <alignment horizontal="left" vertical="center" indent="1"/>
    </xf>
    <xf numFmtId="38" fontId="14" fillId="0" borderId="0" xfId="0" applyNumberFormat="1" applyFont="1" applyAlignment="1">
      <alignment horizontal="left" vertical="center"/>
    </xf>
    <xf numFmtId="38" fontId="14" fillId="0" borderId="0" xfId="2114" applyNumberFormat="1" applyFont="1" applyBorder="1" applyAlignment="1">
      <alignment horizontal="left" indent="1"/>
    </xf>
    <xf numFmtId="194" fontId="14" fillId="0" borderId="0" xfId="2114" applyNumberFormat="1" applyFont="1" applyBorder="1" applyAlignment="1">
      <alignment horizontal="left" indent="1"/>
    </xf>
    <xf numFmtId="182" fontId="81" fillId="0" borderId="0" xfId="1417" applyNumberFormat="1" applyFont="1" applyBorder="1" applyAlignment="1">
      <alignment horizontal="left" indent="1"/>
    </xf>
    <xf numFmtId="0" fontId="21" fillId="10" borderId="40" xfId="2115" applyFont="1" applyFill="1" applyBorder="1" applyAlignment="1">
      <alignment horizontal="right" vertical="center"/>
    </xf>
    <xf numFmtId="37" fontId="14" fillId="0" borderId="21" xfId="1628" applyNumberFormat="1" applyFont="1" applyFill="1" applyBorder="1" applyAlignment="1">
      <alignment vertical="center"/>
    </xf>
    <xf numFmtId="38" fontId="9" fillId="0" borderId="0" xfId="1628" applyNumberFormat="1" applyFont="1" applyFill="1" applyBorder="1" applyAlignment="1">
      <alignment vertical="center"/>
    </xf>
    <xf numFmtId="0" fontId="84" fillId="0" borderId="17" xfId="2114" applyFont="1" applyBorder="1"/>
    <xf numFmtId="0" fontId="84" fillId="0" borderId="0" xfId="2114" applyFont="1" applyBorder="1"/>
    <xf numFmtId="0" fontId="83" fillId="0" borderId="17" xfId="2114" applyFont="1" applyBorder="1"/>
    <xf numFmtId="0" fontId="83" fillId="0" borderId="0" xfId="2114" applyFont="1" applyBorder="1"/>
    <xf numFmtId="38" fontId="34" fillId="0" borderId="22" xfId="0" applyNumberFormat="1" applyFont="1" applyBorder="1" applyAlignment="1"/>
    <xf numFmtId="38" fontId="34" fillId="0" borderId="0" xfId="0" applyNumberFormat="1" applyFont="1" applyBorder="1" applyAlignment="1"/>
    <xf numFmtId="38" fontId="34" fillId="0" borderId="0" xfId="0" applyNumberFormat="1" applyFont="1" applyAlignment="1"/>
    <xf numFmtId="38" fontId="34" fillId="0" borderId="17" xfId="0" applyNumberFormat="1" applyFont="1" applyBorder="1" applyAlignment="1"/>
    <xf numFmtId="38" fontId="29" fillId="10" borderId="18" xfId="0" applyNumberFormat="1" applyFont="1" applyFill="1" applyBorder="1" applyAlignment="1">
      <alignment horizontal="right"/>
    </xf>
    <xf numFmtId="0" fontId="22" fillId="4" borderId="22" xfId="2118" applyNumberFormat="1" applyFont="1" applyFill="1" applyBorder="1" applyAlignment="1" applyProtection="1">
      <alignment horizontal="left" vertical="center"/>
    </xf>
    <xf numFmtId="38" fontId="14" fillId="0" borderId="17" xfId="0" applyNumberFormat="1" applyFont="1" applyBorder="1" applyAlignment="1"/>
    <xf numFmtId="38" fontId="14" fillId="0" borderId="0" xfId="0" applyNumberFormat="1" applyFont="1" applyBorder="1" applyAlignment="1"/>
    <xf numFmtId="38" fontId="9" fillId="4" borderId="21" xfId="0" applyNumberFormat="1" applyFont="1" applyFill="1" applyBorder="1" applyAlignment="1"/>
    <xf numFmtId="38" fontId="9" fillId="4" borderId="41" xfId="0" applyNumberFormat="1" applyFont="1" applyFill="1" applyBorder="1" applyAlignment="1"/>
    <xf numFmtId="38" fontId="14" fillId="4" borderId="21" xfId="0" applyNumberFormat="1" applyFont="1" applyFill="1" applyBorder="1" applyAlignment="1"/>
    <xf numFmtId="38" fontId="14" fillId="4" borderId="41" xfId="0" applyNumberFormat="1" applyFont="1" applyFill="1" applyBorder="1" applyAlignment="1"/>
    <xf numFmtId="38" fontId="14" fillId="4" borderId="23" xfId="0" applyNumberFormat="1" applyFont="1" applyFill="1" applyBorder="1" applyAlignment="1"/>
    <xf numFmtId="38" fontId="14" fillId="4" borderId="42" xfId="0" applyNumberFormat="1" applyFont="1" applyFill="1" applyBorder="1" applyAlignment="1"/>
    <xf numFmtId="40" fontId="14" fillId="0" borderId="0" xfId="0" applyNumberFormat="1" applyFont="1" applyBorder="1" applyAlignment="1"/>
    <xf numFmtId="38" fontId="14" fillId="0" borderId="50" xfId="0" applyNumberFormat="1" applyFont="1" applyBorder="1" applyAlignment="1"/>
    <xf numFmtId="38" fontId="31" fillId="0" borderId="0" xfId="0" quotePrefix="1" applyNumberFormat="1" applyFont="1" applyBorder="1" applyAlignment="1"/>
    <xf numFmtId="38" fontId="11" fillId="4" borderId="0" xfId="2116" applyFont="1" applyAlignment="1">
      <alignment vertical="center"/>
    </xf>
    <xf numFmtId="38" fontId="5" fillId="4" borderId="0" xfId="2116" applyFont="1" applyAlignment="1">
      <alignment vertical="center"/>
    </xf>
    <xf numFmtId="38" fontId="10" fillId="4" borderId="0" xfId="2116" applyFont="1" applyAlignment="1">
      <alignment vertical="center"/>
    </xf>
    <xf numFmtId="38" fontId="5" fillId="4" borderId="0" xfId="2116" applyFont="1" applyAlignment="1">
      <alignment vertical="center" wrapText="1"/>
    </xf>
    <xf numFmtId="38" fontId="14" fillId="4" borderId="0" xfId="2116" applyFont="1" applyAlignment="1">
      <alignment vertical="center"/>
    </xf>
    <xf numFmtId="0" fontId="83" fillId="0" borderId="17" xfId="2114" applyFont="1" applyFill="1" applyBorder="1"/>
    <xf numFmtId="0" fontId="14" fillId="0" borderId="0" xfId="2114" applyFont="1" applyFill="1" applyBorder="1"/>
    <xf numFmtId="0" fontId="81" fillId="0" borderId="0" xfId="2114" applyFont="1" applyFill="1" applyBorder="1" applyAlignment="1">
      <alignment horizontal="left" indent="1"/>
    </xf>
    <xf numFmtId="37" fontId="9" fillId="0" borderId="13" xfId="1628" applyNumberFormat="1" applyFont="1" applyFill="1" applyBorder="1" applyAlignment="1">
      <alignment vertical="center"/>
    </xf>
    <xf numFmtId="0" fontId="21" fillId="10" borderId="40" xfId="2115" applyFont="1" applyFill="1" applyBorder="1" applyAlignment="1">
      <alignment horizontal="center" vertical="center"/>
    </xf>
    <xf numFmtId="0" fontId="21" fillId="10" borderId="51" xfId="2115" applyFont="1" applyFill="1" applyBorder="1" applyAlignment="1">
      <alignment horizontal="center" vertical="center"/>
    </xf>
    <xf numFmtId="38" fontId="9" fillId="0" borderId="0" xfId="1540" applyNumberFormat="1" applyFont="1" applyFill="1" applyBorder="1" applyAlignment="1"/>
    <xf numFmtId="38" fontId="14" fillId="0" borderId="0" xfId="1628" applyNumberFormat="1" applyFont="1" applyFill="1" applyBorder="1"/>
    <xf numFmtId="38" fontId="9" fillId="0" borderId="0" xfId="2114" applyNumberFormat="1" applyFont="1" applyFill="1" applyBorder="1"/>
    <xf numFmtId="0" fontId="21" fillId="0" borderId="0" xfId="2115" applyFont="1" applyFill="1" applyBorder="1" applyAlignment="1">
      <alignment horizontal="center" vertical="center"/>
    </xf>
    <xf numFmtId="38" fontId="14" fillId="0" borderId="0" xfId="1628" applyNumberFormat="1" applyFont="1" applyFill="1" applyBorder="1" applyAlignment="1">
      <alignment vertical="center"/>
    </xf>
    <xf numFmtId="0" fontId="21" fillId="0" borderId="0" xfId="2115" applyFont="1" applyFill="1" applyBorder="1" applyAlignment="1">
      <alignment horizontal="right" vertical="center"/>
    </xf>
    <xf numFmtId="187" fontId="9" fillId="0" borderId="0" xfId="2117" applyNumberFormat="1" applyFont="1" applyFill="1" applyBorder="1" applyAlignment="1">
      <alignment vertical="center"/>
    </xf>
    <xf numFmtId="183" fontId="9" fillId="0" borderId="0" xfId="1548" applyNumberFormat="1" applyFont="1" applyFill="1" applyBorder="1" applyAlignment="1">
      <alignment horizontal="right" vertical="center"/>
    </xf>
    <xf numFmtId="38" fontId="12" fillId="0" borderId="0" xfId="2118" applyNumberFormat="1" applyFont="1" applyFill="1" applyBorder="1" applyAlignment="1" applyProtection="1">
      <alignment horizontal="left"/>
    </xf>
    <xf numFmtId="38" fontId="160" fillId="0" borderId="0" xfId="2118" applyNumberFormat="1" applyFont="1" applyFill="1" applyBorder="1" applyAlignment="1" applyProtection="1">
      <alignment horizontal="left"/>
    </xf>
    <xf numFmtId="38" fontId="38" fillId="0" borderId="0" xfId="0" applyNumberFormat="1" applyFont="1" applyBorder="1" applyAlignment="1">
      <alignment horizontal="left" vertical="center"/>
    </xf>
    <xf numFmtId="38" fontId="14" fillId="0" borderId="21" xfId="0" applyNumberFormat="1" applyFont="1" applyFill="1" applyBorder="1" applyAlignment="1">
      <alignment horizontal="left" vertical="center"/>
    </xf>
    <xf numFmtId="38" fontId="9" fillId="0" borderId="21" xfId="0" applyNumberFormat="1" applyFont="1" applyFill="1" applyBorder="1" applyAlignment="1">
      <alignment horizontal="right" vertical="center" wrapText="1"/>
    </xf>
    <xf numFmtId="38" fontId="9" fillId="0" borderId="13" xfId="0" applyNumberFormat="1" applyFont="1" applyFill="1" applyBorder="1" applyAlignment="1">
      <alignment horizontal="right" vertical="center" wrapText="1"/>
    </xf>
    <xf numFmtId="38" fontId="9" fillId="0" borderId="13" xfId="0" applyNumberFormat="1" applyFont="1" applyFill="1" applyBorder="1" applyAlignment="1">
      <alignment vertical="center" wrapText="1"/>
    </xf>
    <xf numFmtId="38" fontId="0" fillId="0" borderId="21" xfId="0" applyNumberFormat="1" applyFont="1" applyBorder="1" applyAlignment="1"/>
    <xf numFmtId="38" fontId="0" fillId="0" borderId="18" xfId="0" applyNumberFormat="1" applyFont="1" applyBorder="1" applyAlignment="1"/>
    <xf numFmtId="38" fontId="9" fillId="0" borderId="0" xfId="0" applyNumberFormat="1" applyFont="1" applyFill="1" applyBorder="1" applyAlignment="1">
      <alignment vertical="center" wrapText="1"/>
    </xf>
    <xf numFmtId="38" fontId="0" fillId="0" borderId="0" xfId="0" applyNumberFormat="1" applyFont="1" applyFill="1" applyBorder="1" applyAlignment="1"/>
    <xf numFmtId="0" fontId="31" fillId="0" borderId="0" xfId="0" applyNumberFormat="1" applyFont="1" applyFill="1" applyBorder="1" applyAlignment="1"/>
    <xf numFmtId="38" fontId="31" fillId="0" borderId="0" xfId="0" applyNumberFormat="1" applyFont="1" applyBorder="1" applyAlignment="1">
      <alignment horizontal="left" vertical="center"/>
    </xf>
    <xf numFmtId="38" fontId="161" fillId="0" borderId="0" xfId="0" applyNumberFormat="1" applyFont="1" applyFill="1" applyBorder="1" applyAlignment="1"/>
    <xf numFmtId="177" fontId="161" fillId="0" borderId="0" xfId="0" applyNumberFormat="1" applyFont="1" applyFill="1" applyBorder="1" applyAlignment="1"/>
    <xf numFmtId="38" fontId="9" fillId="0" borderId="0" xfId="0" applyNumberFormat="1" applyFont="1" applyFill="1" applyBorder="1" applyAlignment="1">
      <alignment vertical="center"/>
    </xf>
    <xf numFmtId="38" fontId="49" fillId="0" borderId="0" xfId="0" applyNumberFormat="1" applyFont="1" applyFill="1" applyBorder="1" applyAlignment="1">
      <alignment vertical="center"/>
    </xf>
    <xf numFmtId="38" fontId="31" fillId="0" borderId="0" xfId="0" applyNumberFormat="1" applyFont="1" applyFill="1" applyBorder="1" applyAlignment="1">
      <alignment horizontal="center" vertical="center"/>
    </xf>
    <xf numFmtId="177" fontId="31" fillId="0" borderId="0" xfId="0" applyNumberFormat="1" applyFont="1" applyFill="1" applyBorder="1" applyAlignment="1">
      <alignment horizontal="center" vertical="center"/>
    </xf>
    <xf numFmtId="38" fontId="22" fillId="0" borderId="17" xfId="0" applyNumberFormat="1" applyFont="1" applyFill="1" applyBorder="1" applyAlignment="1">
      <alignment horizontal="center" vertical="center"/>
    </xf>
    <xf numFmtId="38" fontId="31" fillId="0" borderId="0" xfId="0" applyNumberFormat="1" applyFont="1" applyFill="1" applyBorder="1" applyAlignment="1">
      <alignment horizontal="left" vertical="center" wrapText="1"/>
    </xf>
    <xf numFmtId="38" fontId="35" fillId="0" borderId="0" xfId="0" applyNumberFormat="1" applyFont="1" applyFill="1" applyBorder="1" applyAlignment="1">
      <alignment vertical="center"/>
    </xf>
    <xf numFmtId="38" fontId="0" fillId="0" borderId="0" xfId="0" applyNumberFormat="1" applyFont="1" applyAlignment="1"/>
    <xf numFmtId="41" fontId="31" fillId="0" borderId="0" xfId="1540" quotePrefix="1" applyFont="1" applyBorder="1" applyAlignment="1">
      <alignment horizontal="left"/>
    </xf>
    <xf numFmtId="0" fontId="9" fillId="0" borderId="0" xfId="2117" applyFont="1" applyFill="1" applyBorder="1" applyAlignment="1">
      <alignment vertical="center"/>
    </xf>
    <xf numFmtId="38" fontId="14" fillId="0" borderId="0" xfId="0" applyNumberFormat="1" applyFont="1" applyBorder="1" applyAlignment="1">
      <alignment vertical="center"/>
    </xf>
    <xf numFmtId="0" fontId="30" fillId="4" borderId="0" xfId="2117" applyFont="1" applyFill="1" applyBorder="1" applyAlignment="1">
      <alignment horizontal="center" vertical="center"/>
    </xf>
    <xf numFmtId="38" fontId="31" fillId="4" borderId="0" xfId="0" applyNumberFormat="1" applyFont="1" applyFill="1" applyBorder="1" applyAlignment="1">
      <alignment horizontal="left" vertical="center"/>
    </xf>
    <xf numFmtId="0" fontId="35" fillId="4" borderId="0" xfId="2117" applyFont="1" applyFill="1" applyBorder="1" applyAlignment="1">
      <alignment vertical="center"/>
    </xf>
    <xf numFmtId="38" fontId="14" fillId="4" borderId="0" xfId="0" applyNumberFormat="1" applyFont="1" applyFill="1" applyBorder="1" applyAlignment="1">
      <alignment vertical="center"/>
    </xf>
    <xf numFmtId="0" fontId="18" fillId="4" borderId="0" xfId="2117" applyFont="1" applyFill="1" applyBorder="1"/>
    <xf numFmtId="38" fontId="73" fillId="0" borderId="0" xfId="0" applyNumberFormat="1" applyFont="1" applyFill="1" applyBorder="1" applyAlignment="1"/>
    <xf numFmtId="41" fontId="14" fillId="0" borderId="0" xfId="1540" quotePrefix="1" applyFont="1" applyBorder="1" applyAlignment="1">
      <alignment horizontal="left"/>
    </xf>
    <xf numFmtId="184" fontId="18" fillId="0" borderId="0" xfId="2117" applyNumberFormat="1" applyFont="1"/>
    <xf numFmtId="38" fontId="5" fillId="0" borderId="0" xfId="0" applyNumberFormat="1" applyFont="1" applyBorder="1" applyAlignment="1">
      <alignment horizontal="right" vertical="center"/>
    </xf>
    <xf numFmtId="0" fontId="14" fillId="0" borderId="0" xfId="0" applyNumberFormat="1" applyFont="1" applyFill="1" applyBorder="1" applyAlignment="1">
      <alignment vertical="center"/>
    </xf>
    <xf numFmtId="0" fontId="22" fillId="0" borderId="38" xfId="2118" applyNumberFormat="1" applyFont="1" applyFill="1" applyBorder="1" applyAlignment="1" applyProtection="1">
      <alignment vertical="center"/>
    </xf>
    <xf numFmtId="0" fontId="21" fillId="0" borderId="0" xfId="2115" applyFont="1" applyFill="1" applyBorder="1" applyAlignment="1">
      <alignment vertical="center"/>
    </xf>
    <xf numFmtId="0" fontId="84" fillId="0" borderId="0" xfId="2114" applyFont="1" applyFill="1" applyBorder="1" applyAlignment="1">
      <alignment vertical="center"/>
    </xf>
    <xf numFmtId="41" fontId="31" fillId="0" borderId="0" xfId="1628" applyFont="1" applyFill="1" applyBorder="1" applyAlignment="1">
      <alignment vertical="center"/>
    </xf>
    <xf numFmtId="38" fontId="56" fillId="0" borderId="0" xfId="0" applyNumberFormat="1" applyFont="1" applyFill="1" applyBorder="1" applyAlignment="1">
      <alignment vertical="top"/>
    </xf>
    <xf numFmtId="0" fontId="38" fillId="0" borderId="0" xfId="2114" applyFont="1" applyBorder="1" applyAlignment="1">
      <alignment horizontal="left" indent="1"/>
    </xf>
    <xf numFmtId="0" fontId="162" fillId="0" borderId="50" xfId="2113" applyFont="1" applyBorder="1"/>
    <xf numFmtId="0" fontId="164" fillId="4" borderId="22" xfId="2116" applyNumberFormat="1" applyFont="1" applyFill="1" applyBorder="1" applyAlignment="1">
      <alignment horizontal="center" vertical="center"/>
    </xf>
    <xf numFmtId="0" fontId="164" fillId="4" borderId="22" xfId="2116" applyNumberFormat="1" applyFont="1" applyFill="1" applyBorder="1" applyAlignment="1">
      <alignment horizontal="left" vertical="center"/>
    </xf>
    <xf numFmtId="0" fontId="163" fillId="4" borderId="22" xfId="2116" applyNumberFormat="1" applyFont="1" applyFill="1" applyBorder="1" applyAlignment="1">
      <alignment horizontal="center" vertical="center"/>
    </xf>
    <xf numFmtId="0" fontId="32" fillId="4" borderId="22" xfId="2116" applyNumberFormat="1" applyFont="1" applyFill="1" applyBorder="1" applyAlignment="1">
      <alignment horizontal="center" vertical="center"/>
    </xf>
    <xf numFmtId="0" fontId="32" fillId="4" borderId="22" xfId="2116" applyNumberFormat="1" applyFont="1" applyFill="1" applyBorder="1" applyAlignment="1">
      <alignment horizontal="right" vertical="center"/>
    </xf>
    <xf numFmtId="38" fontId="34" fillId="4" borderId="22" xfId="2116" applyFont="1" applyBorder="1"/>
    <xf numFmtId="38" fontId="14" fillId="4" borderId="22" xfId="2116" applyFont="1" applyBorder="1" applyAlignment="1">
      <alignment horizontal="right"/>
    </xf>
    <xf numFmtId="38" fontId="34" fillId="4" borderId="0" xfId="2116" applyFont="1"/>
    <xf numFmtId="38" fontId="11" fillId="4" borderId="17" xfId="2116" applyFont="1" applyBorder="1" applyAlignment="1">
      <alignment horizontal="left" indent="5"/>
    </xf>
    <xf numFmtId="38" fontId="11" fillId="4" borderId="0" xfId="2116" applyFont="1" applyAlignment="1">
      <alignment horizontal="left" indent="5"/>
    </xf>
    <xf numFmtId="38" fontId="9" fillId="4" borderId="0" xfId="2116" applyFont="1" applyAlignment="1">
      <alignment horizontal="right"/>
    </xf>
    <xf numFmtId="38" fontId="11" fillId="4" borderId="17" xfId="2116" applyFont="1" applyBorder="1"/>
    <xf numFmtId="38" fontId="16" fillId="0" borderId="0" xfId="0" applyNumberFormat="1" applyFont="1" applyAlignment="1">
      <alignment horizontal="left" indent="5"/>
    </xf>
    <xf numFmtId="38" fontId="162" fillId="0" borderId="0" xfId="0" applyNumberFormat="1" applyFont="1" applyAlignment="1">
      <alignment horizontal="right"/>
    </xf>
    <xf numFmtId="38" fontId="5" fillId="4" borderId="0" xfId="2118" applyNumberFormat="1" applyFont="1" applyFill="1" applyAlignment="1" applyProtection="1"/>
    <xf numFmtId="38" fontId="5" fillId="4" borderId="0" xfId="2116" applyFont="1" applyAlignment="1">
      <alignment vertical="top"/>
    </xf>
    <xf numFmtId="38" fontId="15" fillId="0" borderId="0" xfId="0" applyNumberFormat="1" applyFont="1" applyAlignment="1">
      <alignment horizontal="left" indent="5"/>
    </xf>
    <xf numFmtId="38" fontId="5" fillId="0" borderId="0" xfId="0" applyNumberFormat="1" applyFont="1" applyAlignment="1"/>
    <xf numFmtId="38" fontId="10" fillId="4" borderId="17" xfId="2116" applyFont="1" applyBorder="1"/>
    <xf numFmtId="38" fontId="5" fillId="4" borderId="0" xfId="2118" applyNumberFormat="1" applyFont="1" applyFill="1" applyAlignment="1" applyProtection="1">
      <alignment vertical="center"/>
    </xf>
    <xf numFmtId="38" fontId="10" fillId="4" borderId="0" xfId="2116" applyFont="1" applyFill="1" applyBorder="1" applyAlignment="1"/>
    <xf numFmtId="38" fontId="165" fillId="0" borderId="0" xfId="0" applyNumberFormat="1" applyFont="1" applyAlignment="1">
      <alignment horizontal="left" indent="5"/>
    </xf>
    <xf numFmtId="38" fontId="10" fillId="4" borderId="0" xfId="2116" applyFont="1" applyAlignment="1"/>
    <xf numFmtId="38" fontId="8" fillId="0" borderId="0" xfId="0" applyNumberFormat="1" applyFont="1" applyAlignment="1">
      <alignment horizontal="left"/>
    </xf>
    <xf numFmtId="38" fontId="14" fillId="0" borderId="0" xfId="0" applyNumberFormat="1" applyFont="1" applyFill="1" applyBorder="1" applyAlignment="1">
      <alignment horizontal="right"/>
    </xf>
    <xf numFmtId="0" fontId="14" fillId="0" borderId="0" xfId="2117" applyFont="1" applyFill="1" applyBorder="1" applyAlignment="1">
      <alignment horizontal="right" vertical="center"/>
    </xf>
    <xf numFmtId="38" fontId="6" fillId="0" borderId="0" xfId="0" applyNumberFormat="1" applyFont="1" applyBorder="1" applyAlignment="1">
      <alignment horizontal="right"/>
    </xf>
    <xf numFmtId="38" fontId="40" fillId="0" borderId="0" xfId="0" applyNumberFormat="1" applyFont="1" applyBorder="1" applyAlignment="1">
      <alignment horizontal="right" vertical="center" wrapText="1"/>
    </xf>
    <xf numFmtId="41" fontId="6" fillId="0" borderId="0" xfId="1540" applyFont="1" applyBorder="1" applyAlignment="1">
      <alignment horizontal="left"/>
    </xf>
    <xf numFmtId="41" fontId="7" fillId="0" borderId="18" xfId="1540" applyFont="1" applyBorder="1" applyAlignment="1">
      <alignment horizontal="left" vertical="center"/>
    </xf>
    <xf numFmtId="0" fontId="7" fillId="0" borderId="0" xfId="2117" applyFont="1" applyFill="1" applyBorder="1" applyAlignment="1">
      <alignment vertical="center"/>
    </xf>
    <xf numFmtId="0" fontId="7" fillId="0" borderId="18" xfId="2117" applyFont="1" applyFill="1" applyBorder="1" applyAlignment="1">
      <alignment vertical="center"/>
    </xf>
    <xf numFmtId="0" fontId="6" fillId="0" borderId="0" xfId="2117" applyFont="1" applyFill="1" applyBorder="1" applyAlignment="1">
      <alignment vertical="center"/>
    </xf>
    <xf numFmtId="0" fontId="168" fillId="0" borderId="0" xfId="2117" applyFont="1" applyBorder="1" applyAlignment="1">
      <alignment horizontal="right" vertical="center"/>
    </xf>
    <xf numFmtId="38" fontId="6" fillId="0" borderId="0" xfId="0" applyNumberFormat="1" applyFont="1" applyFill="1" applyBorder="1" applyAlignment="1">
      <alignment horizontal="right" vertical="center"/>
    </xf>
    <xf numFmtId="38" fontId="69" fillId="0" borderId="0" xfId="0" applyNumberFormat="1" applyFont="1" applyFill="1" applyBorder="1" applyAlignment="1"/>
    <xf numFmtId="38" fontId="69" fillId="0" borderId="0" xfId="0" applyNumberFormat="1" applyFont="1" applyBorder="1" applyAlignment="1"/>
    <xf numFmtId="38" fontId="45" fillId="10" borderId="0" xfId="0" applyNumberFormat="1" applyFont="1" applyFill="1" applyBorder="1" applyAlignment="1">
      <alignment horizontal="right" vertical="center"/>
    </xf>
    <xf numFmtId="41" fontId="6" fillId="0" borderId="0" xfId="1540" quotePrefix="1" applyFont="1" applyBorder="1" applyAlignment="1">
      <alignment horizontal="left"/>
    </xf>
    <xf numFmtId="38" fontId="169" fillId="0" borderId="0" xfId="0" applyNumberFormat="1" applyFont="1" applyAlignment="1">
      <alignment horizontal="left" vertical="center"/>
    </xf>
    <xf numFmtId="38" fontId="40" fillId="0" borderId="0" xfId="0" applyNumberFormat="1" applyFont="1" applyFill="1" applyBorder="1" applyAlignment="1">
      <alignment horizontal="right" vertical="center"/>
    </xf>
    <xf numFmtId="38" fontId="170" fillId="0" borderId="0" xfId="0" applyNumberFormat="1" applyFont="1" applyBorder="1" applyAlignment="1"/>
    <xf numFmtId="0" fontId="40" fillId="0" borderId="0" xfId="0" applyNumberFormat="1" applyFont="1" applyFill="1" applyBorder="1" applyAlignment="1"/>
    <xf numFmtId="184" fontId="40" fillId="0" borderId="0" xfId="0" applyNumberFormat="1" applyFont="1" applyBorder="1" applyAlignment="1">
      <alignment vertical="center"/>
    </xf>
    <xf numFmtId="184" fontId="40" fillId="0" borderId="0" xfId="0" applyNumberFormat="1" applyFont="1" applyFill="1" applyBorder="1" applyAlignment="1">
      <alignment horizontal="right" vertical="center"/>
    </xf>
    <xf numFmtId="184" fontId="40" fillId="0" borderId="0" xfId="2117" applyNumberFormat="1" applyFont="1" applyFill="1" applyBorder="1" applyAlignment="1">
      <alignment vertical="center"/>
    </xf>
    <xf numFmtId="38" fontId="6" fillId="4" borderId="0" xfId="0" applyNumberFormat="1" applyFont="1" applyFill="1" applyBorder="1" applyAlignment="1">
      <alignment horizontal="right"/>
    </xf>
    <xf numFmtId="38" fontId="169" fillId="0" borderId="0" xfId="0" applyNumberFormat="1" applyFont="1" applyFill="1" applyBorder="1" applyAlignment="1"/>
    <xf numFmtId="38" fontId="13" fillId="0" borderId="0" xfId="0" applyNumberFormat="1" applyFont="1" applyBorder="1" applyAlignment="1">
      <alignment horizontal="right" vertical="center"/>
    </xf>
    <xf numFmtId="38" fontId="29" fillId="10" borderId="53" xfId="0" applyNumberFormat="1" applyFont="1" applyFill="1" applyBorder="1" applyAlignment="1">
      <alignment horizontal="right"/>
    </xf>
    <xf numFmtId="38" fontId="45" fillId="10" borderId="18" xfId="0" applyNumberFormat="1" applyFont="1" applyFill="1" applyBorder="1" applyAlignment="1">
      <alignment horizontal="right" wrapText="1"/>
    </xf>
    <xf numFmtId="38" fontId="45" fillId="10" borderId="54" xfId="0" applyNumberFormat="1" applyFont="1" applyFill="1" applyBorder="1" applyAlignment="1">
      <alignment horizontal="right" wrapText="1"/>
    </xf>
    <xf numFmtId="38" fontId="45" fillId="10" borderId="18" xfId="0" applyNumberFormat="1" applyFont="1" applyFill="1" applyBorder="1" applyAlignment="1">
      <alignment horizontal="right"/>
    </xf>
    <xf numFmtId="38" fontId="29" fillId="10" borderId="55" xfId="0" applyNumberFormat="1" applyFont="1" applyFill="1" applyBorder="1" applyAlignment="1">
      <alignment horizontal="right"/>
    </xf>
    <xf numFmtId="38" fontId="6" fillId="4" borderId="0" xfId="0" applyNumberFormat="1" applyFont="1" applyFill="1" applyBorder="1" applyAlignment="1"/>
    <xf numFmtId="38" fontId="175" fillId="10" borderId="0" xfId="0" applyNumberFormat="1" applyFont="1" applyFill="1" applyBorder="1" applyAlignment="1">
      <alignment horizontal="left" vertical="center"/>
    </xf>
    <xf numFmtId="38" fontId="176" fillId="0" borderId="0" xfId="0" applyNumberFormat="1" applyFont="1" applyAlignment="1">
      <alignment horizontal="left"/>
    </xf>
    <xf numFmtId="38" fontId="81" fillId="4" borderId="0" xfId="2116" applyFont="1" applyAlignment="1">
      <alignment horizontal="left"/>
    </xf>
    <xf numFmtId="38" fontId="177" fillId="0" borderId="0" xfId="0" applyNumberFormat="1" applyFont="1" applyAlignment="1">
      <alignment horizontal="left"/>
    </xf>
    <xf numFmtId="0" fontId="6" fillId="0" borderId="56" xfId="2117" applyFont="1" applyFill="1" applyBorder="1" applyAlignment="1">
      <alignment vertical="center"/>
    </xf>
    <xf numFmtId="38" fontId="9" fillId="0" borderId="13" xfId="0" applyNumberFormat="1" applyFont="1" applyFill="1" applyBorder="1" applyAlignment="1">
      <alignment vertical="center"/>
    </xf>
    <xf numFmtId="38" fontId="31" fillId="0" borderId="0" xfId="0" applyNumberFormat="1" applyFont="1" applyFill="1" applyBorder="1" applyAlignment="1">
      <alignment vertical="top" wrapText="1"/>
    </xf>
    <xf numFmtId="255" fontId="14" fillId="0" borderId="21" xfId="1628" applyNumberFormat="1" applyFont="1" applyFill="1" applyBorder="1" applyAlignment="1">
      <alignment vertical="center"/>
    </xf>
    <xf numFmtId="255" fontId="159" fillId="0" borderId="21" xfId="1628" applyNumberFormat="1" applyFont="1" applyFill="1" applyBorder="1" applyAlignment="1">
      <alignment vertical="center"/>
    </xf>
    <xf numFmtId="255" fontId="14" fillId="0" borderId="13" xfId="1628" applyNumberFormat="1" applyFont="1" applyFill="1" applyBorder="1" applyAlignment="1">
      <alignment vertical="center"/>
    </xf>
    <xf numFmtId="255" fontId="9" fillId="0" borderId="21" xfId="1628" applyNumberFormat="1" applyFont="1" applyFill="1" applyBorder="1" applyAlignment="1">
      <alignment vertical="center"/>
    </xf>
    <xf numFmtId="255" fontId="9" fillId="0" borderId="57" xfId="1628" applyNumberFormat="1" applyFont="1" applyFill="1" applyBorder="1" applyAlignment="1">
      <alignment vertical="center"/>
    </xf>
    <xf numFmtId="38" fontId="181" fillId="4" borderId="0" xfId="2118" applyNumberFormat="1" applyFont="1" applyFill="1" applyAlignment="1" applyProtection="1">
      <alignment vertical="center"/>
    </xf>
    <xf numFmtId="38" fontId="182" fillId="0" borderId="0" xfId="0" applyNumberFormat="1" applyFont="1" applyAlignment="1"/>
    <xf numFmtId="38" fontId="182" fillId="4" borderId="0" xfId="2116" applyFont="1"/>
    <xf numFmtId="38" fontId="181" fillId="4" borderId="0" xfId="2118" applyNumberFormat="1" applyFont="1" applyFill="1" applyAlignment="1" applyProtection="1"/>
    <xf numFmtId="38" fontId="183" fillId="0" borderId="0" xfId="0" applyNumberFormat="1" applyFont="1" applyAlignment="1">
      <alignment horizontal="left"/>
    </xf>
    <xf numFmtId="38" fontId="181" fillId="0" borderId="0" xfId="0" quotePrefix="1" applyNumberFormat="1" applyFont="1" applyAlignment="1"/>
    <xf numFmtId="38" fontId="183" fillId="4" borderId="0" xfId="2116" applyFont="1" applyAlignment="1">
      <alignment horizontal="right"/>
    </xf>
    <xf numFmtId="38" fontId="183" fillId="4" borderId="0" xfId="2116" quotePrefix="1" applyFont="1" applyAlignment="1">
      <alignment horizontal="right"/>
    </xf>
    <xf numFmtId="38" fontId="182" fillId="4" borderId="0" xfId="2116" applyFont="1" applyAlignment="1"/>
    <xf numFmtId="38" fontId="181" fillId="4" borderId="0" xfId="2116" applyFont="1" applyAlignment="1">
      <alignment vertical="top"/>
    </xf>
    <xf numFmtId="38" fontId="183" fillId="4" borderId="0" xfId="2116" applyFont="1"/>
    <xf numFmtId="38" fontId="184" fillId="0" borderId="0" xfId="0" applyNumberFormat="1" applyFont="1" applyAlignment="1"/>
    <xf numFmtId="38" fontId="185" fillId="4" borderId="0" xfId="2116" applyFont="1" applyAlignment="1">
      <alignment wrapText="1"/>
    </xf>
    <xf numFmtId="38" fontId="183" fillId="4" borderId="0" xfId="2116" quotePrefix="1" applyFont="1" applyAlignment="1">
      <alignment horizontal="right" wrapText="1"/>
    </xf>
    <xf numFmtId="38" fontId="186" fillId="4" borderId="0" xfId="2116" applyFont="1"/>
    <xf numFmtId="38" fontId="181" fillId="0" borderId="0" xfId="0" applyNumberFormat="1" applyFont="1" applyAlignment="1"/>
    <xf numFmtId="38" fontId="181" fillId="4" borderId="0" xfId="2118" applyNumberFormat="1" applyFont="1" applyFill="1" applyAlignment="1" applyProtection="1">
      <alignment wrapText="1"/>
    </xf>
    <xf numFmtId="38" fontId="181" fillId="4" borderId="0" xfId="2116" applyFont="1" applyAlignment="1">
      <alignment wrapText="1"/>
    </xf>
    <xf numFmtId="38" fontId="183" fillId="0" borderId="0" xfId="0" quotePrefix="1" applyNumberFormat="1" applyFont="1" applyAlignment="1">
      <alignment horizontal="right"/>
    </xf>
    <xf numFmtId="38" fontId="182" fillId="4" borderId="0" xfId="2116" applyFont="1" applyFill="1" applyBorder="1" applyAlignment="1"/>
    <xf numFmtId="38" fontId="183" fillId="4" borderId="0" xfId="2116" quotePrefix="1" applyFont="1" applyFill="1" applyBorder="1" applyAlignment="1">
      <alignment horizontal="right"/>
    </xf>
    <xf numFmtId="38" fontId="181" fillId="4" borderId="0" xfId="2116" applyFont="1" applyAlignment="1"/>
    <xf numFmtId="38" fontId="182" fillId="4" borderId="0" xfId="2116" applyFont="1" applyAlignment="1">
      <alignment horizontal="left"/>
    </xf>
    <xf numFmtId="38" fontId="182" fillId="4" borderId="0" xfId="2116" applyFont="1" applyFill="1" applyBorder="1"/>
    <xf numFmtId="38" fontId="183" fillId="4" borderId="0" xfId="2116" applyFont="1" applyFill="1" applyBorder="1" applyAlignment="1">
      <alignment horizontal="right"/>
    </xf>
    <xf numFmtId="38" fontId="187" fillId="4" borderId="0" xfId="2116" applyFont="1"/>
    <xf numFmtId="0" fontId="188" fillId="4" borderId="0" xfId="0" applyNumberFormat="1" applyFont="1" applyFill="1" applyBorder="1" applyAlignment="1">
      <alignment vertical="center"/>
    </xf>
    <xf numFmtId="0" fontId="189" fillId="4" borderId="0" xfId="0" applyNumberFormat="1" applyFont="1" applyFill="1" applyBorder="1" applyAlignment="1">
      <alignment horizontal="right" vertical="center"/>
    </xf>
    <xf numFmtId="38" fontId="181" fillId="4" borderId="0" xfId="2118" quotePrefix="1" applyNumberFormat="1" applyFont="1" applyFill="1" applyAlignment="1" applyProtection="1"/>
    <xf numFmtId="38" fontId="181" fillId="4" borderId="0" xfId="2118" applyNumberFormat="1" applyFont="1" applyFill="1" applyAlignment="1" applyProtection="1">
      <alignment horizontal="left" vertical="center" wrapText="1"/>
    </xf>
    <xf numFmtId="38" fontId="183" fillId="4" borderId="0" xfId="2116" applyFont="1" applyAlignment="1">
      <alignment wrapText="1"/>
    </xf>
    <xf numFmtId="38" fontId="187" fillId="4" borderId="0" xfId="2116" applyFont="1" applyAlignment="1">
      <alignment horizontal="left"/>
    </xf>
    <xf numFmtId="38" fontId="187" fillId="0" borderId="0" xfId="0" applyNumberFormat="1" applyFont="1" applyAlignment="1"/>
    <xf numFmtId="38" fontId="183" fillId="0" borderId="0" xfId="0" applyNumberFormat="1" applyFont="1" applyAlignment="1">
      <alignment horizontal="right"/>
    </xf>
    <xf numFmtId="38" fontId="182" fillId="4" borderId="0" xfId="0" applyNumberFormat="1" applyFont="1" applyFill="1" applyBorder="1" applyAlignment="1"/>
    <xf numFmtId="38" fontId="181" fillId="4" borderId="0" xfId="2116" applyFont="1" applyAlignment="1">
      <alignment horizontal="left" vertical="center" wrapText="1"/>
    </xf>
    <xf numFmtId="38" fontId="190" fillId="0" borderId="0" xfId="0" applyNumberFormat="1" applyFont="1" applyAlignment="1">
      <alignment horizontal="right"/>
    </xf>
    <xf numFmtId="38" fontId="65" fillId="0" borderId="33" xfId="2118" applyNumberFormat="1" applyFont="1" applyFill="1" applyBorder="1" applyAlignment="1" applyProtection="1">
      <alignment horizontal="left"/>
    </xf>
    <xf numFmtId="0" fontId="22" fillId="0" borderId="58" xfId="2118" applyNumberFormat="1" applyFont="1" applyFill="1" applyBorder="1" applyAlignment="1" applyProtection="1">
      <alignment vertical="center"/>
    </xf>
    <xf numFmtId="38" fontId="3" fillId="0" borderId="0" xfId="0" applyNumberFormat="1" applyFont="1" applyAlignment="1"/>
    <xf numFmtId="38" fontId="197" fillId="4" borderId="0" xfId="2118" applyNumberFormat="1" applyFont="1" applyFill="1" applyAlignment="1" applyProtection="1">
      <alignment horizontal="left" vertical="center" wrapText="1"/>
    </xf>
    <xf numFmtId="38" fontId="14" fillId="4" borderId="21" xfId="0" applyNumberFormat="1" applyFont="1" applyFill="1" applyBorder="1" applyAlignment="1">
      <alignment vertical="center"/>
    </xf>
    <xf numFmtId="177" fontId="79" fillId="0" borderId="21" xfId="0" applyNumberFormat="1" applyFont="1" applyBorder="1" applyAlignment="1">
      <alignment vertical="center"/>
    </xf>
    <xf numFmtId="38" fontId="14" fillId="0" borderId="59" xfId="0" applyNumberFormat="1" applyFont="1" applyBorder="1" applyAlignment="1"/>
    <xf numFmtId="38" fontId="14" fillId="4" borderId="13" xfId="0" applyNumberFormat="1" applyFont="1" applyFill="1" applyBorder="1" applyAlignment="1">
      <alignment vertical="center"/>
    </xf>
    <xf numFmtId="177" fontId="79" fillId="0" borderId="13" xfId="0" applyNumberFormat="1" applyFont="1" applyBorder="1" applyAlignment="1">
      <alignment vertical="center"/>
    </xf>
    <xf numFmtId="38" fontId="14" fillId="0" borderId="60" xfId="0" applyNumberFormat="1" applyFont="1" applyBorder="1" applyAlignment="1"/>
    <xf numFmtId="38" fontId="9" fillId="0" borderId="23" xfId="0" applyNumberFormat="1" applyFont="1" applyBorder="1" applyAlignment="1">
      <alignment vertical="center"/>
    </xf>
    <xf numFmtId="177" fontId="78" fillId="0" borderId="23" xfId="0" applyNumberFormat="1" applyFont="1" applyBorder="1" applyAlignment="1">
      <alignment vertical="center"/>
    </xf>
    <xf numFmtId="38" fontId="14" fillId="0" borderId="61" xfId="0" applyNumberFormat="1" applyFont="1" applyBorder="1" applyAlignment="1"/>
    <xf numFmtId="38" fontId="29" fillId="10" borderId="62" xfId="0" applyNumberFormat="1" applyFont="1" applyFill="1" applyBorder="1" applyAlignment="1"/>
    <xf numFmtId="38" fontId="45" fillId="10" borderId="18" xfId="0" applyNumberFormat="1" applyFont="1" applyFill="1" applyBorder="1" applyAlignment="1">
      <alignment horizontal="right" vertical="center" wrapText="1"/>
    </xf>
    <xf numFmtId="38" fontId="29" fillId="10" borderId="18" xfId="0" applyNumberFormat="1" applyFont="1" applyFill="1" applyBorder="1" applyAlignment="1">
      <alignment horizontal="right" vertical="center" wrapText="1"/>
    </xf>
    <xf numFmtId="38" fontId="45" fillId="10" borderId="63" xfId="0" applyNumberFormat="1" applyFont="1" applyFill="1" applyBorder="1" applyAlignment="1">
      <alignment horizontal="right" vertical="center" wrapText="1"/>
    </xf>
    <xf numFmtId="38" fontId="29" fillId="10" borderId="64" xfId="0" applyNumberFormat="1" applyFont="1" applyFill="1" applyBorder="1" applyAlignment="1">
      <alignment horizontal="right" vertical="center" wrapText="1"/>
    </xf>
    <xf numFmtId="9" fontId="9" fillId="4" borderId="21" xfId="1401" applyFont="1" applyFill="1" applyBorder="1" applyAlignment="1"/>
    <xf numFmtId="38" fontId="9" fillId="4" borderId="23" xfId="0" applyNumberFormat="1" applyFont="1" applyFill="1" applyBorder="1" applyAlignment="1"/>
    <xf numFmtId="186" fontId="159" fillId="4" borderId="21" xfId="1540" applyNumberFormat="1" applyFont="1" applyFill="1" applyBorder="1" applyAlignment="1"/>
    <xf numFmtId="186" fontId="9" fillId="4" borderId="23" xfId="1540" applyNumberFormat="1" applyFont="1" applyFill="1" applyBorder="1" applyAlignment="1">
      <alignment horizontal="right"/>
    </xf>
    <xf numFmtId="38" fontId="14" fillId="0" borderId="59" xfId="0" applyNumberFormat="1" applyFont="1" applyBorder="1" applyAlignment="1">
      <alignment vertical="center"/>
    </xf>
    <xf numFmtId="38" fontId="14" fillId="0" borderId="60" xfId="0" applyNumberFormat="1" applyFont="1" applyBorder="1" applyAlignment="1">
      <alignment vertical="center"/>
    </xf>
    <xf numFmtId="41" fontId="14" fillId="0" borderId="21" xfId="1540" applyFont="1" applyBorder="1" applyAlignment="1">
      <alignment vertical="center"/>
    </xf>
    <xf numFmtId="41" fontId="9" fillId="0" borderId="21" xfId="1540" applyFont="1" applyBorder="1" applyAlignment="1">
      <alignment vertical="center"/>
    </xf>
    <xf numFmtId="188" fontId="9" fillId="0" borderId="21" xfId="1540" applyNumberFormat="1" applyFont="1" applyBorder="1" applyAlignment="1">
      <alignment vertical="center"/>
    </xf>
    <xf numFmtId="41" fontId="14" fillId="0" borderId="23" xfId="1540" applyNumberFormat="1" applyFont="1" applyBorder="1" applyAlignment="1">
      <alignment vertical="center"/>
    </xf>
    <xf numFmtId="41" fontId="9" fillId="0" borderId="23" xfId="1540" applyFont="1" applyBorder="1" applyAlignment="1">
      <alignment vertical="center"/>
    </xf>
    <xf numFmtId="41" fontId="14" fillId="0" borderId="23" xfId="1540" applyFont="1" applyBorder="1" applyAlignment="1">
      <alignment vertical="center"/>
    </xf>
    <xf numFmtId="188" fontId="14" fillId="0" borderId="23" xfId="1540" applyNumberFormat="1" applyFont="1" applyBorder="1" applyAlignment="1">
      <alignment vertical="center"/>
    </xf>
    <xf numFmtId="41" fontId="9" fillId="0" borderId="23" xfId="1540" applyNumberFormat="1" applyFont="1" applyBorder="1" applyAlignment="1">
      <alignment vertical="center"/>
    </xf>
    <xf numFmtId="9" fontId="79" fillId="0" borderId="0" xfId="1401" applyFont="1" applyBorder="1" applyAlignment="1">
      <alignment vertical="center"/>
    </xf>
    <xf numFmtId="41" fontId="78" fillId="0" borderId="0" xfId="1540" applyFont="1" applyBorder="1" applyAlignment="1">
      <alignment vertical="center"/>
    </xf>
    <xf numFmtId="41" fontId="78" fillId="0" borderId="18" xfId="1540" applyFont="1" applyBorder="1" applyAlignment="1">
      <alignment vertical="center"/>
    </xf>
    <xf numFmtId="181" fontId="78" fillId="0" borderId="0" xfId="1540" applyNumberFormat="1" applyFont="1" applyBorder="1" applyAlignment="1">
      <alignment vertical="center"/>
    </xf>
    <xf numFmtId="38" fontId="14" fillId="0" borderId="21" xfId="0" applyNumberFormat="1" applyFont="1" applyBorder="1" applyAlignment="1"/>
    <xf numFmtId="182" fontId="14" fillId="4" borderId="21" xfId="1401" applyNumberFormat="1" applyFont="1" applyFill="1" applyBorder="1" applyAlignment="1"/>
    <xf numFmtId="38" fontId="14" fillId="0" borderId="23" xfId="0" applyNumberFormat="1" applyFont="1" applyBorder="1" applyAlignment="1"/>
    <xf numFmtId="182" fontId="14" fillId="4" borderId="23" xfId="0" applyNumberFormat="1" applyFont="1" applyFill="1" applyBorder="1" applyAlignment="1"/>
    <xf numFmtId="38" fontId="9" fillId="0" borderId="21" xfId="0" applyNumberFormat="1" applyFont="1" applyFill="1" applyBorder="1" applyAlignment="1"/>
    <xf numFmtId="38" fontId="79" fillId="0" borderId="0" xfId="0" applyNumberFormat="1" applyFont="1" applyBorder="1" applyAlignment="1"/>
    <xf numFmtId="38" fontId="78" fillId="4" borderId="21" xfId="0" applyNumberFormat="1" applyFont="1" applyFill="1" applyBorder="1" applyAlignment="1">
      <alignment horizontal="center"/>
    </xf>
    <xf numFmtId="38" fontId="79" fillId="0" borderId="21" xfId="0" applyNumberFormat="1" applyFont="1" applyBorder="1" applyAlignment="1"/>
    <xf numFmtId="38" fontId="79" fillId="4" borderId="0" xfId="0" applyNumberFormat="1" applyFont="1" applyFill="1" applyBorder="1" applyAlignment="1">
      <alignment horizontal="left"/>
    </xf>
    <xf numFmtId="182" fontId="79" fillId="4" borderId="21" xfId="0" applyNumberFormat="1" applyFont="1" applyFill="1" applyBorder="1" applyAlignment="1"/>
    <xf numFmtId="38" fontId="79" fillId="0" borderId="0" xfId="0" applyNumberFormat="1" applyFont="1" applyAlignment="1"/>
    <xf numFmtId="38" fontId="79" fillId="0" borderId="23" xfId="0" applyNumberFormat="1" applyFont="1" applyBorder="1" applyAlignment="1"/>
    <xf numFmtId="38" fontId="9" fillId="4" borderId="21" xfId="0" applyNumberFormat="1" applyFont="1" applyFill="1" applyBorder="1" applyAlignment="1">
      <alignment horizontal="center"/>
    </xf>
    <xf numFmtId="182" fontId="14" fillId="4" borderId="21" xfId="0" applyNumberFormat="1" applyFont="1" applyFill="1" applyBorder="1" applyAlignment="1"/>
    <xf numFmtId="38" fontId="14" fillId="4" borderId="0" xfId="0" applyNumberFormat="1" applyFont="1" applyFill="1" applyBorder="1" applyAlignment="1">
      <alignment horizontal="left"/>
    </xf>
    <xf numFmtId="38" fontId="14" fillId="4" borderId="13" xfId="0" applyNumberFormat="1" applyFont="1" applyFill="1" applyBorder="1" applyAlignment="1"/>
    <xf numFmtId="38" fontId="9" fillId="4" borderId="13" xfId="0" applyNumberFormat="1" applyFont="1" applyFill="1" applyBorder="1" applyAlignment="1">
      <alignment horizontal="center"/>
    </xf>
    <xf numFmtId="182" fontId="14" fillId="4" borderId="13" xfId="1401" applyNumberFormat="1" applyFont="1" applyFill="1" applyBorder="1" applyAlignment="1"/>
    <xf numFmtId="38" fontId="86" fillId="4" borderId="13" xfId="0" applyNumberFormat="1" applyFont="1" applyFill="1" applyBorder="1" applyAlignment="1">
      <alignment horizontal="right"/>
    </xf>
    <xf numFmtId="182" fontId="86" fillId="4" borderId="13" xfId="1401" applyNumberFormat="1" applyFont="1" applyFill="1" applyBorder="1" applyAlignment="1"/>
    <xf numFmtId="38" fontId="9" fillId="4" borderId="23" xfId="0" applyNumberFormat="1" applyFont="1" applyFill="1" applyBorder="1" applyAlignment="1">
      <alignment horizontal="center"/>
    </xf>
    <xf numFmtId="38" fontId="79" fillId="4" borderId="23" xfId="0" applyNumberFormat="1" applyFont="1" applyFill="1" applyBorder="1" applyAlignment="1"/>
    <xf numFmtId="182" fontId="79" fillId="4" borderId="23" xfId="1401" applyNumberFormat="1" applyFont="1" applyFill="1" applyBorder="1" applyAlignment="1"/>
    <xf numFmtId="38" fontId="194" fillId="4" borderId="21" xfId="0" applyNumberFormat="1" applyFont="1" applyFill="1" applyBorder="1" applyAlignment="1">
      <alignment horizontal="center"/>
    </xf>
    <xf numFmtId="38" fontId="86" fillId="0" borderId="21" xfId="0" applyNumberFormat="1" applyFont="1" applyBorder="1" applyAlignment="1"/>
    <xf numFmtId="184" fontId="9" fillId="4" borderId="21" xfId="0" applyNumberFormat="1" applyFont="1" applyFill="1" applyBorder="1" applyAlignment="1">
      <alignment horizontal="center"/>
    </xf>
    <xf numFmtId="38" fontId="86" fillId="4" borderId="21" xfId="0" applyNumberFormat="1" applyFont="1" applyFill="1" applyBorder="1" applyAlignment="1"/>
    <xf numFmtId="182" fontId="86" fillId="4" borderId="21" xfId="1401" applyNumberFormat="1" applyFont="1" applyFill="1" applyBorder="1" applyAlignment="1"/>
    <xf numFmtId="0" fontId="196" fillId="0" borderId="22" xfId="2118" applyNumberFormat="1" applyFont="1" applyFill="1" applyBorder="1" applyAlignment="1" applyProtection="1">
      <alignment horizontal="left" vertical="center"/>
    </xf>
    <xf numFmtId="0" fontId="196" fillId="0" borderId="22" xfId="0" applyNumberFormat="1" applyFont="1" applyFill="1" applyBorder="1" applyAlignment="1">
      <alignment horizontal="left" vertical="center"/>
    </xf>
    <xf numFmtId="0" fontId="196" fillId="0" borderId="22" xfId="2118" applyNumberFormat="1" applyFont="1" applyFill="1" applyBorder="1" applyAlignment="1" applyProtection="1">
      <alignment vertical="center"/>
    </xf>
    <xf numFmtId="0" fontId="199" fillId="0" borderId="0" xfId="2117" applyFont="1"/>
    <xf numFmtId="0" fontId="199" fillId="0" borderId="0" xfId="2117" applyFont="1" applyAlignment="1">
      <alignment vertical="top"/>
    </xf>
    <xf numFmtId="184" fontId="14" fillId="0" borderId="21" xfId="2117" applyNumberFormat="1" applyFont="1" applyBorder="1" applyAlignment="1">
      <alignment vertical="center"/>
    </xf>
    <xf numFmtId="184" fontId="79" fillId="0" borderId="13" xfId="2117" applyNumberFormat="1" applyFont="1" applyFill="1" applyBorder="1" applyAlignment="1">
      <alignment vertical="center"/>
    </xf>
    <xf numFmtId="184" fontId="14" fillId="0" borderId="13" xfId="2117" applyNumberFormat="1" applyFont="1" applyFill="1" applyBorder="1" applyAlignment="1">
      <alignment vertical="center"/>
    </xf>
    <xf numFmtId="184" fontId="79" fillId="0" borderId="18" xfId="2117" applyNumberFormat="1" applyFont="1" applyBorder="1" applyAlignment="1">
      <alignment vertical="center"/>
    </xf>
    <xf numFmtId="184" fontId="14" fillId="0" borderId="23" xfId="2117" applyNumberFormat="1" applyFont="1" applyBorder="1" applyAlignment="1">
      <alignment vertical="center"/>
    </xf>
    <xf numFmtId="184" fontId="6" fillId="0" borderId="13" xfId="2117" applyNumberFormat="1" applyFont="1" applyFill="1" applyBorder="1" applyAlignment="1">
      <alignment vertical="center"/>
    </xf>
    <xf numFmtId="38" fontId="14" fillId="4" borderId="0" xfId="2116" applyFont="1" applyFill="1" applyBorder="1" applyAlignment="1"/>
    <xf numFmtId="0" fontId="9" fillId="4" borderId="0" xfId="0" applyNumberFormat="1" applyFont="1" applyFill="1" applyBorder="1" applyAlignment="1">
      <alignment vertical="center"/>
    </xf>
    <xf numFmtId="38" fontId="14" fillId="0" borderId="0" xfId="0" applyNumberFormat="1" applyFont="1" applyAlignment="1">
      <alignment vertical="center"/>
    </xf>
    <xf numFmtId="184" fontId="36" fillId="0" borderId="18" xfId="2117" applyNumberFormat="1" applyFont="1" applyFill="1" applyBorder="1" applyAlignment="1">
      <alignment vertical="center"/>
    </xf>
    <xf numFmtId="38" fontId="29" fillId="10" borderId="53" xfId="0" applyNumberFormat="1" applyFont="1" applyFill="1" applyBorder="1" applyAlignment="1">
      <alignment horizontal="right" vertical="center"/>
    </xf>
    <xf numFmtId="38" fontId="29" fillId="10" borderId="18" xfId="0" applyNumberFormat="1" applyFont="1" applyFill="1" applyBorder="1" applyAlignment="1">
      <alignment horizontal="right" vertical="center"/>
    </xf>
    <xf numFmtId="38" fontId="14" fillId="0" borderId="21" xfId="1627" applyNumberFormat="1" applyFont="1" applyFill="1" applyBorder="1" applyAlignment="1">
      <alignment vertical="center"/>
    </xf>
    <xf numFmtId="187" fontId="14" fillId="0" borderId="21" xfId="2117" applyNumberFormat="1" applyFont="1" applyFill="1" applyBorder="1" applyAlignment="1">
      <alignment vertical="center"/>
    </xf>
    <xf numFmtId="38" fontId="9" fillId="0" borderId="21" xfId="1627" applyNumberFormat="1" applyFont="1" applyFill="1" applyBorder="1" applyAlignment="1">
      <alignment vertical="center"/>
    </xf>
    <xf numFmtId="0" fontId="78" fillId="0" borderId="21" xfId="2117" applyFont="1" applyFill="1" applyBorder="1" applyAlignment="1">
      <alignment vertical="center"/>
    </xf>
    <xf numFmtId="41" fontId="79" fillId="0" borderId="13" xfId="1540" applyFont="1" applyFill="1" applyBorder="1" applyAlignment="1">
      <alignment vertical="center"/>
    </xf>
    <xf numFmtId="0" fontId="79" fillId="0" borderId="13" xfId="2117" applyFont="1" applyFill="1" applyBorder="1" applyAlignment="1">
      <alignment vertical="center"/>
    </xf>
    <xf numFmtId="38" fontId="79" fillId="0" borderId="18" xfId="2117" applyNumberFormat="1" applyFont="1" applyFill="1" applyBorder="1" applyAlignment="1">
      <alignment vertical="center"/>
    </xf>
    <xf numFmtId="0" fontId="79" fillId="0" borderId="18" xfId="2117" applyFont="1" applyFill="1" applyBorder="1" applyAlignment="1">
      <alignment vertical="center"/>
    </xf>
    <xf numFmtId="38" fontId="79" fillId="0" borderId="23" xfId="2117" applyNumberFormat="1" applyFont="1" applyFill="1" applyBorder="1" applyAlignment="1">
      <alignment vertical="center"/>
    </xf>
    <xf numFmtId="187" fontId="14" fillId="0" borderId="23" xfId="2117" applyNumberFormat="1" applyFont="1" applyFill="1" applyBorder="1" applyAlignment="1">
      <alignment vertical="center"/>
    </xf>
    <xf numFmtId="0" fontId="6" fillId="0" borderId="13" xfId="2117" applyFont="1" applyFill="1" applyBorder="1" applyAlignment="1">
      <alignment vertical="center"/>
    </xf>
    <xf numFmtId="38" fontId="14" fillId="0" borderId="65" xfId="1627" applyNumberFormat="1" applyFont="1" applyFill="1" applyBorder="1" applyAlignment="1">
      <alignment vertical="center"/>
    </xf>
    <xf numFmtId="38" fontId="179" fillId="4" borderId="0" xfId="2118" applyNumberFormat="1" applyFont="1" applyFill="1" applyAlignment="1" applyProtection="1"/>
    <xf numFmtId="38" fontId="32" fillId="0" borderId="0" xfId="0" applyNumberFormat="1" applyFont="1" applyFill="1" applyBorder="1" applyAlignment="1">
      <alignment horizontal="center" vertical="center"/>
    </xf>
    <xf numFmtId="0" fontId="198" fillId="0" borderId="0" xfId="2117" applyFont="1"/>
    <xf numFmtId="38" fontId="179" fillId="4" borderId="0" xfId="2118" applyNumberFormat="1" applyFont="1" applyFill="1" applyAlignment="1" applyProtection="1">
      <alignment vertical="center"/>
    </xf>
    <xf numFmtId="0" fontId="8" fillId="12" borderId="69" xfId="0" applyNumberFormat="1" applyFont="1" applyFill="1" applyBorder="1" applyAlignment="1">
      <alignment vertical="center"/>
    </xf>
    <xf numFmtId="0" fontId="8" fillId="12" borderId="21" xfId="0" applyNumberFormat="1" applyFont="1" applyFill="1" applyBorder="1" applyAlignment="1">
      <alignment vertical="center"/>
    </xf>
    <xf numFmtId="0" fontId="9" fillId="12" borderId="21" xfId="0" applyNumberFormat="1" applyFont="1" applyFill="1" applyBorder="1" applyAlignment="1">
      <alignment horizontal="right" vertical="center"/>
    </xf>
    <xf numFmtId="0" fontId="9" fillId="12" borderId="70" xfId="0" applyNumberFormat="1" applyFont="1" applyFill="1" applyBorder="1" applyAlignment="1">
      <alignment horizontal="right" vertical="center"/>
    </xf>
    <xf numFmtId="38" fontId="6" fillId="12" borderId="13" xfId="0" applyNumberFormat="1" applyFont="1" applyFill="1" applyBorder="1" applyAlignment="1">
      <alignment vertical="center" wrapText="1"/>
    </xf>
    <xf numFmtId="38" fontId="6" fillId="12" borderId="0" xfId="0" applyNumberFormat="1" applyFont="1" applyFill="1" applyBorder="1" applyAlignment="1">
      <alignment vertical="center" wrapText="1"/>
    </xf>
    <xf numFmtId="38" fontId="6" fillId="12" borderId="13" xfId="0" applyNumberFormat="1" applyFont="1" applyFill="1" applyBorder="1" applyAlignment="1">
      <alignment horizontal="left" vertical="center" wrapText="1"/>
    </xf>
    <xf numFmtId="38" fontId="6" fillId="12" borderId="18" xfId="0" applyNumberFormat="1" applyFont="1" applyFill="1" applyBorder="1" applyAlignment="1">
      <alignment vertical="center" wrapText="1"/>
    </xf>
    <xf numFmtId="38" fontId="6" fillId="12" borderId="13" xfId="0" applyNumberFormat="1" applyFont="1" applyFill="1" applyBorder="1" applyAlignment="1">
      <alignment horizontal="left" vertical="center"/>
    </xf>
    <xf numFmtId="38" fontId="36" fillId="12" borderId="21" xfId="0" applyNumberFormat="1" applyFont="1" applyFill="1" applyBorder="1" applyAlignment="1">
      <alignment vertical="center"/>
    </xf>
    <xf numFmtId="38" fontId="6" fillId="12" borderId="21" xfId="0" applyNumberFormat="1" applyFont="1" applyFill="1" applyBorder="1" applyAlignment="1">
      <alignment horizontal="left" vertical="center"/>
    </xf>
    <xf numFmtId="38" fontId="36" fillId="12" borderId="21" xfId="0" applyNumberFormat="1" applyFont="1" applyFill="1" applyBorder="1" applyAlignment="1">
      <alignment vertical="center" wrapText="1"/>
    </xf>
    <xf numFmtId="38" fontId="6" fillId="12" borderId="21" xfId="0" applyNumberFormat="1" applyFont="1" applyFill="1" applyBorder="1" applyAlignment="1">
      <alignment vertical="center"/>
    </xf>
    <xf numFmtId="38" fontId="36" fillId="12" borderId="23" xfId="0" applyNumberFormat="1" applyFont="1" applyFill="1" applyBorder="1" applyAlignment="1">
      <alignment vertical="center"/>
    </xf>
    <xf numFmtId="38" fontId="6" fillId="12" borderId="13" xfId="0" applyNumberFormat="1" applyFont="1" applyFill="1" applyBorder="1" applyAlignment="1">
      <alignment vertical="center"/>
    </xf>
    <xf numFmtId="38" fontId="36" fillId="12" borderId="21" xfId="0" applyNumberFormat="1" applyFont="1" applyFill="1" applyBorder="1" applyAlignment="1"/>
    <xf numFmtId="38" fontId="6" fillId="12" borderId="21" xfId="0" applyNumberFormat="1" applyFont="1" applyFill="1" applyBorder="1" applyAlignment="1"/>
    <xf numFmtId="38" fontId="6" fillId="12" borderId="21" xfId="0" applyNumberFormat="1" applyFont="1" applyFill="1" applyBorder="1" applyAlignment="1">
      <alignment horizontal="left" indent="1"/>
    </xf>
    <xf numFmtId="38" fontId="36" fillId="12" borderId="23" xfId="0" applyNumberFormat="1" applyFont="1" applyFill="1" applyBorder="1" applyAlignment="1">
      <alignment horizontal="left" indent="1"/>
    </xf>
    <xf numFmtId="0" fontId="6" fillId="12" borderId="18" xfId="2117" applyFont="1" applyFill="1" applyBorder="1" applyAlignment="1">
      <alignment vertical="center"/>
    </xf>
    <xf numFmtId="0" fontId="6" fillId="12" borderId="23" xfId="2117" applyFont="1" applyFill="1" applyBorder="1" applyAlignment="1">
      <alignment vertical="center"/>
    </xf>
    <xf numFmtId="0" fontId="7" fillId="12" borderId="23" xfId="2117" applyFont="1" applyFill="1" applyBorder="1" applyAlignment="1">
      <alignment vertical="center"/>
    </xf>
    <xf numFmtId="0" fontId="6" fillId="12" borderId="21" xfId="2117" applyFont="1" applyFill="1" applyBorder="1" applyAlignment="1">
      <alignment vertical="center"/>
    </xf>
    <xf numFmtId="0" fontId="6" fillId="12" borderId="13" xfId="2117" applyFont="1" applyFill="1" applyBorder="1" applyAlignment="1">
      <alignment vertical="center"/>
    </xf>
    <xf numFmtId="38" fontId="36" fillId="12" borderId="21" xfId="0" applyNumberFormat="1" applyFont="1" applyFill="1" applyBorder="1" applyAlignment="1">
      <alignment horizontal="left" indent="1"/>
    </xf>
    <xf numFmtId="38" fontId="14" fillId="12" borderId="21" xfId="0" applyNumberFormat="1" applyFont="1" applyFill="1" applyBorder="1" applyAlignment="1">
      <alignment horizontal="left" indent="1"/>
    </xf>
    <xf numFmtId="38" fontId="14" fillId="12" borderId="23" xfId="0" applyNumberFormat="1" applyFont="1" applyFill="1" applyBorder="1" applyAlignment="1">
      <alignment horizontal="left" indent="1"/>
    </xf>
    <xf numFmtId="38" fontId="171" fillId="12" borderId="21" xfId="0" applyNumberFormat="1" applyFont="1" applyFill="1" applyBorder="1" applyAlignment="1">
      <alignment horizontal="left" indent="1"/>
    </xf>
    <xf numFmtId="38" fontId="79" fillId="12" borderId="21" xfId="0" applyNumberFormat="1" applyFont="1" applyFill="1" applyBorder="1" applyAlignment="1">
      <alignment horizontal="left" indent="1"/>
    </xf>
    <xf numFmtId="38" fontId="79" fillId="12" borderId="23" xfId="0" applyNumberFormat="1" applyFont="1" applyFill="1" applyBorder="1" applyAlignment="1">
      <alignment horizontal="left" indent="1"/>
    </xf>
    <xf numFmtId="38" fontId="6" fillId="12" borderId="13" xfId="0" applyNumberFormat="1" applyFont="1" applyFill="1" applyBorder="1" applyAlignment="1">
      <alignment horizontal="left" indent="1"/>
    </xf>
    <xf numFmtId="38" fontId="14" fillId="12" borderId="23" xfId="0" applyNumberFormat="1" applyFont="1" applyFill="1" applyBorder="1" applyAlignment="1"/>
    <xf numFmtId="38" fontId="14" fillId="12" borderId="21" xfId="0" applyNumberFormat="1" applyFont="1" applyFill="1" applyBorder="1" applyAlignment="1">
      <alignment horizontal="left"/>
    </xf>
    <xf numFmtId="38" fontId="14" fillId="12" borderId="13" xfId="0" applyNumberFormat="1" applyFont="1" applyFill="1" applyBorder="1" applyAlignment="1">
      <alignment horizontal="left"/>
    </xf>
    <xf numFmtId="38" fontId="171" fillId="12" borderId="13" xfId="0" applyNumberFormat="1" applyFont="1" applyFill="1" applyBorder="1" applyAlignment="1">
      <alignment horizontal="left" indent="1"/>
    </xf>
    <xf numFmtId="38" fontId="31" fillId="0" borderId="0" xfId="0" applyNumberFormat="1" applyFont="1" applyFill="1" applyAlignment="1"/>
    <xf numFmtId="38" fontId="171" fillId="12" borderId="21" xfId="0" applyNumberFormat="1" applyFont="1" applyFill="1" applyBorder="1" applyAlignment="1">
      <alignment vertical="center"/>
    </xf>
    <xf numFmtId="38" fontId="9" fillId="12" borderId="23" xfId="0" applyNumberFormat="1" applyFont="1" applyFill="1" applyBorder="1" applyAlignment="1">
      <alignment vertical="center"/>
    </xf>
    <xf numFmtId="0" fontId="31" fillId="12" borderId="73" xfId="2117" applyFont="1" applyFill="1" applyBorder="1" applyAlignment="1">
      <alignment horizontal="right" vertical="center" wrapText="1"/>
    </xf>
    <xf numFmtId="0" fontId="31" fillId="12" borderId="52" xfId="2117" applyFont="1" applyFill="1" applyBorder="1" applyAlignment="1">
      <alignment horizontal="right" vertical="center" wrapText="1"/>
    </xf>
    <xf numFmtId="0" fontId="31" fillId="12" borderId="74" xfId="2117" applyFont="1" applyFill="1" applyBorder="1" applyAlignment="1">
      <alignment horizontal="right" vertical="center" wrapText="1"/>
    </xf>
    <xf numFmtId="0" fontId="6" fillId="12" borderId="37" xfId="2117" applyFont="1" applyFill="1" applyBorder="1" applyAlignment="1">
      <alignment vertical="center"/>
    </xf>
    <xf numFmtId="0" fontId="14" fillId="12" borderId="18" xfId="2117" applyFont="1" applyFill="1" applyBorder="1" applyAlignment="1">
      <alignment vertical="center"/>
    </xf>
    <xf numFmtId="0" fontId="14" fillId="12" borderId="21" xfId="2117" applyFont="1" applyFill="1" applyBorder="1" applyAlignment="1">
      <alignment vertical="center"/>
    </xf>
    <xf numFmtId="0" fontId="14" fillId="12" borderId="0" xfId="2117" applyFont="1" applyFill="1" applyBorder="1" applyAlignment="1">
      <alignment horizontal="right" vertical="center"/>
    </xf>
    <xf numFmtId="0" fontId="14" fillId="12" borderId="75" xfId="2117" applyFont="1" applyFill="1" applyBorder="1" applyAlignment="1">
      <alignment horizontal="right" vertical="center"/>
    </xf>
    <xf numFmtId="0" fontId="36" fillId="12" borderId="21" xfId="2117" applyFont="1" applyFill="1" applyBorder="1" applyAlignment="1">
      <alignment vertical="center"/>
    </xf>
    <xf numFmtId="0" fontId="36" fillId="12" borderId="18" xfId="2117" applyFont="1" applyFill="1" applyBorder="1" applyAlignment="1">
      <alignment vertical="center"/>
    </xf>
    <xf numFmtId="0" fontId="32" fillId="0" borderId="18" xfId="2117" applyFont="1" applyFill="1" applyBorder="1" applyAlignment="1">
      <alignment horizontal="center" vertical="center"/>
    </xf>
    <xf numFmtId="0" fontId="9" fillId="12" borderId="21" xfId="2117" applyFont="1" applyFill="1" applyBorder="1" applyAlignment="1">
      <alignment vertical="center"/>
    </xf>
    <xf numFmtId="0" fontId="9" fillId="12" borderId="23" xfId="2117" applyFont="1" applyFill="1" applyBorder="1" applyAlignment="1">
      <alignment vertical="center"/>
    </xf>
    <xf numFmtId="38" fontId="9" fillId="12" borderId="35" xfId="0" applyNumberFormat="1" applyFont="1" applyFill="1" applyBorder="1" applyAlignment="1">
      <alignment horizontal="center" vertical="center"/>
    </xf>
    <xf numFmtId="0" fontId="6" fillId="12" borderId="0" xfId="2117" applyFont="1" applyFill="1" applyBorder="1" applyAlignment="1">
      <alignment horizontal="right" vertical="center"/>
    </xf>
    <xf numFmtId="0" fontId="171" fillId="12" borderId="76" xfId="2117" applyFont="1" applyFill="1" applyBorder="1" applyAlignment="1">
      <alignment horizontal="right" vertical="center"/>
    </xf>
    <xf numFmtId="0" fontId="171" fillId="12" borderId="0" xfId="2117" applyFont="1" applyFill="1" applyBorder="1" applyAlignment="1">
      <alignment horizontal="right" vertical="center"/>
    </xf>
    <xf numFmtId="0" fontId="6" fillId="12" borderId="76" xfId="2117" applyFont="1" applyFill="1" applyBorder="1" applyAlignment="1">
      <alignment horizontal="right" vertical="center"/>
    </xf>
    <xf numFmtId="184" fontId="6" fillId="12" borderId="21" xfId="2117" applyNumberFormat="1" applyFont="1" applyFill="1" applyBorder="1" applyAlignment="1">
      <alignment vertical="center"/>
    </xf>
    <xf numFmtId="184" fontId="36" fillId="12" borderId="21" xfId="2117" applyNumberFormat="1" applyFont="1" applyFill="1" applyBorder="1" applyAlignment="1">
      <alignment vertical="center"/>
    </xf>
    <xf numFmtId="184" fontId="6" fillId="12" borderId="23" xfId="2117" applyNumberFormat="1" applyFont="1" applyFill="1" applyBorder="1" applyAlignment="1">
      <alignment vertical="center"/>
    </xf>
    <xf numFmtId="184" fontId="40" fillId="12" borderId="21" xfId="2117" applyNumberFormat="1" applyFont="1" applyFill="1" applyBorder="1" applyAlignment="1">
      <alignment vertical="center"/>
    </xf>
    <xf numFmtId="184" fontId="40" fillId="12" borderId="18" xfId="2117" applyNumberFormat="1" applyFont="1" applyFill="1" applyBorder="1" applyAlignment="1">
      <alignment vertical="center"/>
    </xf>
    <xf numFmtId="0" fontId="167" fillId="12" borderId="77" xfId="2117" applyFont="1" applyFill="1" applyBorder="1" applyAlignment="1">
      <alignment vertical="center"/>
    </xf>
    <xf numFmtId="38" fontId="3" fillId="12" borderId="78" xfId="0" applyNumberFormat="1" applyFont="1" applyFill="1" applyBorder="1" applyAlignment="1">
      <alignment horizontal="right" vertical="center"/>
    </xf>
    <xf numFmtId="38" fontId="3" fillId="12" borderId="77" xfId="0" applyNumberFormat="1" applyFont="1" applyFill="1" applyBorder="1" applyAlignment="1">
      <alignment horizontal="center" vertical="center"/>
    </xf>
    <xf numFmtId="38" fontId="31" fillId="12" borderId="77" xfId="0" applyNumberFormat="1" applyFont="1" applyFill="1" applyBorder="1" applyAlignment="1">
      <alignment horizontal="center" vertical="center"/>
    </xf>
    <xf numFmtId="38" fontId="171" fillId="12" borderId="79" xfId="0" applyNumberFormat="1" applyFont="1" applyFill="1" applyBorder="1" applyAlignment="1">
      <alignment horizontal="right" vertical="center"/>
    </xf>
    <xf numFmtId="38" fontId="171" fillId="12" borderId="77" xfId="0" applyNumberFormat="1" applyFont="1" applyFill="1" applyBorder="1" applyAlignment="1">
      <alignment horizontal="right" vertical="center"/>
    </xf>
    <xf numFmtId="38" fontId="6" fillId="12" borderId="80" xfId="0" applyNumberFormat="1" applyFont="1" applyFill="1" applyBorder="1" applyAlignment="1">
      <alignment horizontal="center" vertical="center"/>
    </xf>
    <xf numFmtId="38" fontId="6" fillId="12" borderId="81" xfId="0" applyNumberFormat="1" applyFont="1" applyFill="1" applyBorder="1" applyAlignment="1">
      <alignment horizontal="center" vertical="center"/>
    </xf>
    <xf numFmtId="38" fontId="6" fillId="12" borderId="82" xfId="0" applyNumberFormat="1" applyFont="1" applyFill="1" applyBorder="1" applyAlignment="1">
      <alignment horizontal="center" vertical="center"/>
    </xf>
    <xf numFmtId="38" fontId="7" fillId="12" borderId="82" xfId="0" applyNumberFormat="1" applyFont="1" applyFill="1" applyBorder="1" applyAlignment="1">
      <alignment horizontal="center" vertical="center"/>
    </xf>
    <xf numFmtId="38" fontId="7" fillId="12" borderId="80" xfId="0" applyNumberFormat="1" applyFont="1" applyFill="1" applyBorder="1" applyAlignment="1">
      <alignment horizontal="center" vertical="center"/>
    </xf>
    <xf numFmtId="38" fontId="7" fillId="12" borderId="83" xfId="0" applyNumberFormat="1" applyFont="1" applyFill="1" applyBorder="1" applyAlignment="1">
      <alignment horizontal="center" vertical="center"/>
    </xf>
    <xf numFmtId="41" fontId="14" fillId="12" borderId="21" xfId="1540" applyFont="1" applyFill="1" applyBorder="1" applyAlignment="1">
      <alignment horizontal="left" vertical="center" indent="1"/>
    </xf>
    <xf numFmtId="41" fontId="9" fillId="12" borderId="21" xfId="1628" applyFont="1" applyFill="1" applyBorder="1" applyAlignment="1">
      <alignment horizontal="left" vertical="center" indent="1"/>
    </xf>
    <xf numFmtId="41" fontId="14" fillId="12" borderId="21" xfId="1628" applyFont="1" applyFill="1" applyBorder="1" applyAlignment="1">
      <alignment horizontal="left" vertical="center" indent="1"/>
    </xf>
    <xf numFmtId="41" fontId="9" fillId="12" borderId="13" xfId="1628" applyFont="1" applyFill="1" applyBorder="1" applyAlignment="1">
      <alignment horizontal="left" vertical="center" indent="1"/>
    </xf>
    <xf numFmtId="41" fontId="9" fillId="12" borderId="49" xfId="1628" applyFont="1" applyFill="1" applyBorder="1" applyAlignment="1">
      <alignment horizontal="left" vertical="center" wrapText="1" indent="1"/>
    </xf>
    <xf numFmtId="38" fontId="66" fillId="12" borderId="21" xfId="0" applyNumberFormat="1" applyFont="1" applyFill="1" applyBorder="1" applyAlignment="1">
      <alignment vertical="center"/>
    </xf>
    <xf numFmtId="38" fontId="171" fillId="12" borderId="21" xfId="0" applyNumberFormat="1" applyFont="1" applyFill="1" applyBorder="1" applyAlignment="1">
      <alignment horizontal="left" vertical="center" indent="1"/>
    </xf>
    <xf numFmtId="38" fontId="14" fillId="12" borderId="21" xfId="0" applyNumberFormat="1" applyFont="1" applyFill="1" applyBorder="1" applyAlignment="1">
      <alignment horizontal="left" vertical="center" indent="1"/>
    </xf>
    <xf numFmtId="38" fontId="66" fillId="12" borderId="21" xfId="0" applyNumberFormat="1" applyFont="1" applyFill="1" applyBorder="1" applyAlignment="1">
      <alignment horizontal="left" vertical="center" indent="1"/>
    </xf>
    <xf numFmtId="38" fontId="171" fillId="12" borderId="21" xfId="0" applyNumberFormat="1" applyFont="1" applyFill="1" applyBorder="1" applyAlignment="1">
      <alignment horizontal="left" vertical="center" wrapText="1" indent="1"/>
    </xf>
    <xf numFmtId="38" fontId="171" fillId="12" borderId="21" xfId="0" applyNumberFormat="1" applyFont="1" applyFill="1" applyBorder="1" applyAlignment="1">
      <alignment horizontal="left" vertical="center"/>
    </xf>
    <xf numFmtId="38" fontId="66" fillId="12" borderId="21" xfId="0" applyNumberFormat="1" applyFont="1" applyFill="1" applyBorder="1" applyAlignment="1">
      <alignment horizontal="left" vertical="center"/>
    </xf>
    <xf numFmtId="38" fontId="174" fillId="12" borderId="84" xfId="0" applyNumberFormat="1" applyFont="1" applyFill="1" applyBorder="1" applyAlignment="1">
      <alignment horizontal="left" vertical="center" indent="1"/>
    </xf>
    <xf numFmtId="38" fontId="174" fillId="12" borderId="85" xfId="0" applyNumberFormat="1" applyFont="1" applyFill="1" applyBorder="1" applyAlignment="1">
      <alignment horizontal="left" vertical="center" indent="1"/>
    </xf>
    <xf numFmtId="38" fontId="174" fillId="12" borderId="86" xfId="0" applyNumberFormat="1" applyFont="1" applyFill="1" applyBorder="1" applyAlignment="1">
      <alignment horizontal="left" vertical="center" indent="1"/>
    </xf>
    <xf numFmtId="38" fontId="6" fillId="12" borderId="23" xfId="0" applyNumberFormat="1" applyFont="1" applyFill="1" applyBorder="1" applyAlignment="1"/>
    <xf numFmtId="0" fontId="7" fillId="12" borderId="87" xfId="0" applyNumberFormat="1" applyFont="1" applyFill="1" applyBorder="1" applyAlignment="1">
      <alignment vertical="center"/>
    </xf>
    <xf numFmtId="0" fontId="6" fillId="12" borderId="21" xfId="0" applyNumberFormat="1" applyFont="1" applyFill="1" applyBorder="1" applyAlignment="1">
      <alignment vertical="center"/>
    </xf>
    <xf numFmtId="0" fontId="7" fillId="12" borderId="21" xfId="0" applyNumberFormat="1" applyFont="1" applyFill="1" applyBorder="1" applyAlignment="1">
      <alignment vertical="center"/>
    </xf>
    <xf numFmtId="0" fontId="7" fillId="12" borderId="57" xfId="0" applyNumberFormat="1" applyFont="1" applyFill="1" applyBorder="1" applyAlignment="1">
      <alignment vertical="center"/>
    </xf>
    <xf numFmtId="0" fontId="7" fillId="12" borderId="13" xfId="0" applyNumberFormat="1" applyFont="1" applyFill="1" applyBorder="1" applyAlignment="1">
      <alignment vertical="center"/>
    </xf>
    <xf numFmtId="38" fontId="203" fillId="4" borderId="0" xfId="2118" applyNumberFormat="1" applyFont="1" applyFill="1" applyAlignment="1" applyProtection="1"/>
    <xf numFmtId="38" fontId="179" fillId="4" borderId="0" xfId="2118" applyNumberFormat="1" applyFont="1" applyFill="1" applyAlignment="1" applyProtection="1">
      <alignment horizontal="left" vertical="center" wrapText="1"/>
    </xf>
    <xf numFmtId="38" fontId="207" fillId="4" borderId="0" xfId="2118" applyNumberFormat="1" applyFont="1" applyFill="1" applyAlignment="1" applyProtection="1">
      <alignment horizontal="left" vertical="center" wrapText="1"/>
    </xf>
    <xf numFmtId="38" fontId="208" fillId="0" borderId="17" xfId="0" applyNumberFormat="1" applyFont="1" applyFill="1" applyBorder="1" applyAlignment="1"/>
    <xf numFmtId="190" fontId="31" fillId="0" borderId="25" xfId="1626" applyNumberFormat="1" applyFont="1" applyFill="1" applyBorder="1" applyAlignment="1">
      <alignment horizontal="right" vertical="center"/>
    </xf>
    <xf numFmtId="190" fontId="31" fillId="0" borderId="18" xfId="1626" applyNumberFormat="1" applyFont="1" applyFill="1" applyBorder="1" applyAlignment="1">
      <alignment horizontal="right" vertical="center"/>
    </xf>
    <xf numFmtId="191" fontId="35" fillId="0" borderId="24" xfId="1626" applyNumberFormat="1" applyFont="1" applyFill="1" applyBorder="1" applyAlignment="1">
      <alignment horizontal="right" vertical="center"/>
    </xf>
    <xf numFmtId="190" fontId="31" fillId="0" borderId="27" xfId="1626" applyNumberFormat="1" applyFont="1" applyFill="1" applyBorder="1" applyAlignment="1">
      <alignment horizontal="right" vertical="center"/>
    </xf>
    <xf numFmtId="190" fontId="31" fillId="0" borderId="23" xfId="1626" applyNumberFormat="1" applyFont="1" applyFill="1" applyBorder="1" applyAlignment="1">
      <alignment horizontal="right" vertical="center"/>
    </xf>
    <xf numFmtId="190" fontId="31" fillId="0" borderId="25" xfId="2117" applyNumberFormat="1" applyFont="1" applyFill="1" applyBorder="1" applyAlignment="1">
      <alignment horizontal="right" vertical="center"/>
    </xf>
    <xf numFmtId="190" fontId="31" fillId="0" borderId="18" xfId="2117" applyNumberFormat="1" applyFont="1" applyFill="1" applyBorder="1" applyAlignment="1">
      <alignment horizontal="right" vertical="center"/>
    </xf>
    <xf numFmtId="191" fontId="35" fillId="0" borderId="28" xfId="2117" applyNumberFormat="1" applyFont="1" applyFill="1" applyBorder="1" applyAlignment="1">
      <alignment horizontal="right" vertical="center"/>
    </xf>
    <xf numFmtId="190" fontId="31" fillId="0" borderId="32" xfId="1540" applyNumberFormat="1" applyFont="1" applyFill="1" applyBorder="1" applyAlignment="1">
      <alignment horizontal="right" vertical="center"/>
    </xf>
    <xf numFmtId="190" fontId="31" fillId="0" borderId="30" xfId="1540" applyNumberFormat="1" applyFont="1" applyFill="1" applyBorder="1" applyAlignment="1">
      <alignment horizontal="right" vertical="center"/>
    </xf>
    <xf numFmtId="191" fontId="35" fillId="0" borderId="88" xfId="1626" applyNumberFormat="1" applyFont="1" applyFill="1" applyBorder="1" applyAlignment="1">
      <alignment horizontal="right" vertical="center"/>
    </xf>
    <xf numFmtId="9" fontId="31" fillId="0" borderId="37" xfId="1417" applyFont="1" applyFill="1" applyBorder="1" applyAlignment="1">
      <alignment horizontal="center" vertical="center"/>
    </xf>
    <xf numFmtId="255" fontId="191" fillId="0" borderId="89" xfId="0" applyNumberFormat="1" applyFont="1" applyFill="1" applyBorder="1" applyAlignment="1">
      <alignment horizontal="right" vertical="center"/>
    </xf>
    <xf numFmtId="255" fontId="191" fillId="0" borderId="37" xfId="0" applyNumberFormat="1" applyFont="1" applyFill="1" applyBorder="1">
      <alignment vertical="center"/>
    </xf>
    <xf numFmtId="9" fontId="31" fillId="0" borderId="21" xfId="1417" applyFont="1" applyFill="1" applyBorder="1" applyAlignment="1">
      <alignment horizontal="center" vertical="center"/>
    </xf>
    <xf numFmtId="255" fontId="191" fillId="0" borderId="26" xfId="0" applyNumberFormat="1" applyFont="1" applyFill="1" applyBorder="1" applyAlignment="1">
      <alignment horizontal="right" vertical="center"/>
    </xf>
    <xf numFmtId="255" fontId="191" fillId="0" borderId="21" xfId="0" applyNumberFormat="1" applyFont="1" applyFill="1" applyBorder="1">
      <alignment vertical="center"/>
    </xf>
    <xf numFmtId="9" fontId="35" fillId="0" borderId="23" xfId="1417" applyFont="1" applyFill="1" applyBorder="1" applyAlignment="1">
      <alignment horizontal="center" vertical="center"/>
    </xf>
    <xf numFmtId="182" fontId="35" fillId="0" borderId="23" xfId="1417" applyNumberFormat="1" applyFont="1" applyFill="1" applyBorder="1" applyAlignment="1">
      <alignment horizontal="center" vertical="center"/>
    </xf>
    <xf numFmtId="255" fontId="192" fillId="0" borderId="27" xfId="0" applyNumberFormat="1" applyFont="1" applyFill="1" applyBorder="1" applyAlignment="1">
      <alignment horizontal="right" vertical="center"/>
    </xf>
    <xf numFmtId="38" fontId="9" fillId="0" borderId="49" xfId="1628" applyNumberFormat="1" applyFont="1" applyFill="1" applyBorder="1" applyAlignment="1">
      <alignment vertical="center"/>
    </xf>
    <xf numFmtId="38" fontId="14" fillId="0" borderId="89" xfId="0" applyNumberFormat="1" applyFont="1" applyFill="1" applyBorder="1" applyAlignment="1"/>
    <xf numFmtId="38" fontId="14" fillId="0" borderId="18" xfId="0" applyNumberFormat="1" applyFont="1" applyFill="1" applyBorder="1" applyAlignment="1"/>
    <xf numFmtId="38" fontId="14" fillId="0" borderId="87" xfId="1417" applyNumberFormat="1" applyFont="1" applyFill="1" applyBorder="1"/>
    <xf numFmtId="182" fontId="14" fillId="0" borderId="25" xfId="1417" applyNumberFormat="1" applyFont="1" applyFill="1" applyBorder="1"/>
    <xf numFmtId="182" fontId="14" fillId="0" borderId="18" xfId="1417" applyNumberFormat="1" applyFont="1" applyFill="1" applyBorder="1"/>
    <xf numFmtId="38" fontId="14" fillId="0" borderId="26" xfId="0" applyNumberFormat="1" applyFont="1" applyFill="1" applyBorder="1" applyAlignment="1"/>
    <xf numFmtId="38" fontId="14" fillId="0" borderId="21" xfId="0" applyNumberFormat="1" applyFont="1" applyFill="1" applyBorder="1" applyAlignment="1"/>
    <xf numFmtId="38" fontId="14" fillId="0" borderId="21" xfId="1417" applyNumberFormat="1" applyFont="1" applyFill="1" applyBorder="1"/>
    <xf numFmtId="10" fontId="14" fillId="0" borderId="90" xfId="0" applyNumberFormat="1" applyFont="1" applyFill="1" applyBorder="1" applyAlignment="1"/>
    <xf numFmtId="10" fontId="14" fillId="0" borderId="91" xfId="0" applyNumberFormat="1" applyFont="1" applyFill="1" applyBorder="1" applyAlignment="1"/>
    <xf numFmtId="38" fontId="14" fillId="0" borderId="92" xfId="0" applyNumberFormat="1" applyFont="1" applyFill="1" applyBorder="1" applyAlignment="1"/>
    <xf numFmtId="38" fontId="14" fillId="0" borderId="87" xfId="0" applyNumberFormat="1" applyFont="1" applyFill="1" applyBorder="1" applyAlignment="1"/>
    <xf numFmtId="182" fontId="14" fillId="0" borderId="26" xfId="1417" applyNumberFormat="1" applyFont="1" applyFill="1" applyBorder="1"/>
    <xf numFmtId="182" fontId="14" fillId="0" borderId="21" xfId="1417" applyNumberFormat="1" applyFont="1" applyFill="1" applyBorder="1"/>
    <xf numFmtId="38" fontId="9" fillId="0" borderId="92" xfId="0" applyNumberFormat="1" applyFont="1" applyFill="1" applyBorder="1" applyAlignment="1"/>
    <xf numFmtId="38" fontId="9" fillId="0" borderId="87" xfId="0" applyNumberFormat="1" applyFont="1" applyFill="1" applyBorder="1" applyAlignment="1"/>
    <xf numFmtId="38" fontId="9" fillId="0" borderId="26" xfId="0" applyNumberFormat="1" applyFont="1" applyFill="1" applyBorder="1" applyAlignment="1"/>
    <xf numFmtId="10" fontId="9" fillId="0" borderId="32" xfId="0" applyNumberFormat="1" applyFont="1" applyFill="1" applyBorder="1" applyAlignment="1"/>
    <xf numFmtId="10" fontId="9" fillId="0" borderId="30" xfId="0" applyNumberFormat="1" applyFont="1" applyFill="1" applyBorder="1" applyAlignment="1"/>
    <xf numFmtId="184" fontId="6" fillId="0" borderId="0" xfId="2117" applyNumberFormat="1" applyFont="1" applyBorder="1" applyAlignment="1">
      <alignment horizontal="right" vertical="center"/>
    </xf>
    <xf numFmtId="38" fontId="40" fillId="0" borderId="0" xfId="0" applyNumberFormat="1" applyFont="1" applyFill="1" applyBorder="1" applyAlignment="1">
      <alignment vertical="center"/>
    </xf>
    <xf numFmtId="38" fontId="217" fillId="4" borderId="0" xfId="2118" applyNumberFormat="1" applyFont="1" applyFill="1" applyAlignment="1" applyProtection="1">
      <alignment horizontal="left" vertical="center" wrapText="1"/>
    </xf>
    <xf numFmtId="38" fontId="209" fillId="0" borderId="0" xfId="0" applyNumberFormat="1" applyFont="1" applyFill="1" applyBorder="1" applyAlignment="1"/>
    <xf numFmtId="38" fontId="6" fillId="0" borderId="0" xfId="0" applyNumberFormat="1" applyFont="1" applyFill="1" applyBorder="1" applyAlignment="1">
      <alignment vertical="center" wrapText="1"/>
    </xf>
    <xf numFmtId="37" fontId="31" fillId="4" borderId="18" xfId="1540" applyNumberFormat="1" applyFont="1" applyFill="1" applyBorder="1" applyAlignment="1">
      <alignment vertical="center" wrapText="1"/>
    </xf>
    <xf numFmtId="41" fontId="31" fillId="0" borderId="13" xfId="0" applyNumberFormat="1" applyFont="1" applyFill="1" applyBorder="1" applyAlignment="1">
      <alignment horizontal="right" vertical="center"/>
    </xf>
    <xf numFmtId="37" fontId="5" fillId="0" borderId="0" xfId="0" applyNumberFormat="1" applyFont="1" applyFill="1" applyBorder="1" applyAlignment="1">
      <alignment horizontal="right"/>
    </xf>
    <xf numFmtId="38" fontId="18" fillId="0" borderId="0" xfId="0" applyNumberFormat="1" applyFont="1" applyBorder="1" applyAlignment="1">
      <alignment vertical="center"/>
    </xf>
    <xf numFmtId="0" fontId="162" fillId="0" borderId="0" xfId="2113" applyFont="1" applyBorder="1"/>
    <xf numFmtId="0" fontId="162" fillId="0" borderId="0" xfId="2113" applyFont="1" applyFill="1" applyBorder="1"/>
    <xf numFmtId="41" fontId="14" fillId="0" borderId="21" xfId="1540" applyNumberFormat="1" applyFont="1" applyBorder="1" applyAlignment="1">
      <alignment vertical="center"/>
    </xf>
    <xf numFmtId="38" fontId="87" fillId="0" borderId="93" xfId="2118" applyNumberFormat="1" applyFont="1" applyFill="1" applyBorder="1" applyAlignment="1" applyProtection="1">
      <alignment horizontal="center" vertical="center"/>
    </xf>
    <xf numFmtId="38" fontId="87" fillId="0" borderId="11" xfId="2118" applyNumberFormat="1" applyFont="1" applyFill="1" applyBorder="1" applyAlignment="1" applyProtection="1">
      <alignment horizontal="center" vertical="center"/>
    </xf>
    <xf numFmtId="38" fontId="158" fillId="0" borderId="11" xfId="2118" applyNumberFormat="1" applyFont="1" applyFill="1" applyBorder="1" applyAlignment="1" applyProtection="1">
      <alignment horizontal="center" vertical="center"/>
    </xf>
    <xf numFmtId="38" fontId="204" fillId="0" borderId="11" xfId="2118" applyNumberFormat="1" applyFont="1" applyFill="1" applyBorder="1" applyAlignment="1" applyProtection="1">
      <alignment horizontal="center" vertical="center"/>
    </xf>
    <xf numFmtId="38" fontId="87" fillId="0" borderId="11" xfId="1630" applyFill="1">
      <alignment horizontal="center" vertical="center"/>
    </xf>
    <xf numFmtId="38" fontId="87" fillId="0" borderId="11" xfId="1630" applyFont="1" applyFill="1">
      <alignment horizontal="center" vertical="center"/>
    </xf>
    <xf numFmtId="38" fontId="158" fillId="0" borderId="11" xfId="1630" applyFont="1" applyFill="1">
      <alignment horizontal="center" vertical="center"/>
    </xf>
    <xf numFmtId="38" fontId="251" fillId="4" borderId="0" xfId="2118" applyNumberFormat="1" applyFont="1" applyFill="1" applyAlignment="1" applyProtection="1">
      <alignment vertical="center"/>
    </xf>
    <xf numFmtId="255" fontId="9" fillId="0" borderId="0" xfId="1628" applyNumberFormat="1" applyFont="1" applyFill="1" applyBorder="1" applyAlignment="1">
      <alignment vertical="center"/>
    </xf>
    <xf numFmtId="255" fontId="14" fillId="0" borderId="0" xfId="1628" applyNumberFormat="1" applyFont="1" applyFill="1" applyBorder="1" applyAlignment="1">
      <alignment vertical="center"/>
    </xf>
    <xf numFmtId="184" fontId="9" fillId="0" borderId="0" xfId="0" applyNumberFormat="1" applyFont="1" applyFill="1" applyBorder="1" applyAlignment="1"/>
    <xf numFmtId="10" fontId="9" fillId="0" borderId="0" xfId="1401" applyNumberFormat="1" applyFont="1" applyFill="1" applyBorder="1" applyAlignment="1"/>
    <xf numFmtId="38" fontId="6" fillId="0" borderId="13" xfId="0" applyNumberFormat="1" applyFont="1" applyFill="1" applyBorder="1" applyAlignment="1">
      <alignment vertical="center" wrapText="1"/>
    </xf>
    <xf numFmtId="37" fontId="31" fillId="0" borderId="13" xfId="0" applyNumberFormat="1" applyFont="1" applyFill="1" applyBorder="1" applyAlignment="1">
      <alignment horizontal="left" vertical="center" wrapText="1"/>
    </xf>
    <xf numFmtId="41" fontId="31" fillId="0" borderId="0" xfId="1540" applyNumberFormat="1" applyFont="1" applyFill="1" applyBorder="1" applyAlignment="1">
      <alignment horizontal="right" vertical="center"/>
    </xf>
    <xf numFmtId="37" fontId="31" fillId="0" borderId="0" xfId="1540" applyNumberFormat="1" applyFont="1" applyFill="1" applyBorder="1" applyAlignment="1">
      <alignment vertical="center" wrapText="1"/>
    </xf>
    <xf numFmtId="255" fontId="191" fillId="0" borderId="23" xfId="0" applyNumberFormat="1" applyFont="1" applyFill="1" applyBorder="1">
      <alignment vertical="center"/>
    </xf>
    <xf numFmtId="41" fontId="7" fillId="0" borderId="0" xfId="1540" applyFont="1" applyBorder="1" applyAlignment="1">
      <alignment horizontal="left" vertical="center"/>
    </xf>
    <xf numFmtId="38" fontId="29" fillId="0" borderId="0" xfId="0" applyNumberFormat="1" applyFont="1" applyFill="1" applyBorder="1" applyAlignment="1">
      <alignment horizontal="center" vertical="center"/>
    </xf>
    <xf numFmtId="38" fontId="31" fillId="0" borderId="0" xfId="0" applyNumberFormat="1" applyFont="1" applyBorder="1" applyAlignment="1">
      <alignment horizontal="left"/>
    </xf>
    <xf numFmtId="38" fontId="6" fillId="44" borderId="0" xfId="0" applyNumberFormat="1" applyFont="1" applyFill="1" applyBorder="1" applyAlignment="1">
      <alignment horizontal="right"/>
    </xf>
    <xf numFmtId="38" fontId="6" fillId="44" borderId="0" xfId="0" applyNumberFormat="1" applyFont="1" applyFill="1" applyBorder="1" applyAlignment="1"/>
    <xf numFmtId="38" fontId="6" fillId="0" borderId="0" xfId="0" applyNumberFormat="1" applyFont="1" applyFill="1" applyBorder="1" applyAlignment="1"/>
    <xf numFmtId="186" fontId="14" fillId="0" borderId="0" xfId="1548" applyNumberFormat="1" applyFont="1" applyFill="1" applyBorder="1"/>
    <xf numFmtId="38" fontId="7" fillId="44" borderId="0" xfId="0" applyNumberFormat="1" applyFont="1" applyFill="1" applyBorder="1" applyAlignment="1"/>
    <xf numFmtId="41" fontId="9" fillId="44" borderId="0" xfId="1548" applyNumberFormat="1" applyFont="1" applyFill="1" applyBorder="1"/>
    <xf numFmtId="38" fontId="7" fillId="44" borderId="0" xfId="0" applyNumberFormat="1" applyFont="1" applyFill="1" applyBorder="1" applyAlignment="1">
      <alignment horizontal="left"/>
    </xf>
    <xf numFmtId="186" fontId="9" fillId="44" borderId="0" xfId="1548" applyNumberFormat="1" applyFont="1" applyFill="1" applyBorder="1" applyAlignment="1">
      <alignment horizontal="center"/>
    </xf>
    <xf numFmtId="38" fontId="6" fillId="12" borderId="0" xfId="0" applyNumberFormat="1" applyFont="1" applyFill="1" applyBorder="1" applyAlignment="1"/>
    <xf numFmtId="41" fontId="14" fillId="4" borderId="0" xfId="1548" applyNumberFormat="1" applyFont="1" applyFill="1" applyBorder="1"/>
    <xf numFmtId="186" fontId="14" fillId="4" borderId="0" xfId="1548" applyNumberFormat="1" applyFont="1" applyFill="1" applyBorder="1"/>
    <xf numFmtId="38" fontId="6" fillId="0" borderId="0" xfId="0" applyNumberFormat="1" applyFont="1" applyFill="1" applyBorder="1" applyAlignment="1">
      <alignment horizontal="right"/>
    </xf>
    <xf numFmtId="184" fontId="14" fillId="0" borderId="0" xfId="0" applyNumberFormat="1" applyFont="1" applyFill="1" applyBorder="1" applyAlignment="1"/>
    <xf numFmtId="38" fontId="36" fillId="0" borderId="0" xfId="0" applyNumberFormat="1" applyFont="1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177" fontId="31" fillId="4" borderId="0" xfId="0" applyNumberFormat="1" applyFont="1" applyFill="1" applyBorder="1" applyAlignment="1"/>
    <xf numFmtId="10" fontId="31" fillId="0" borderId="17" xfId="1401" applyNumberFormat="1" applyFont="1" applyBorder="1" applyAlignment="1"/>
    <xf numFmtId="0" fontId="163" fillId="45" borderId="11" xfId="2116" applyNumberFormat="1" applyFont="1" applyFill="1" applyBorder="1" applyAlignment="1">
      <alignment horizontal="center" vertical="center"/>
    </xf>
    <xf numFmtId="38" fontId="29" fillId="10" borderId="0" xfId="0" applyNumberFormat="1" applyFont="1" applyFill="1" applyBorder="1" applyAlignment="1">
      <alignment horizontal="center" vertical="center"/>
    </xf>
    <xf numFmtId="38" fontId="9" fillId="12" borderId="96" xfId="0" applyNumberFormat="1" applyFont="1" applyFill="1" applyBorder="1" applyAlignment="1">
      <alignment vertical="center"/>
    </xf>
    <xf numFmtId="9" fontId="35" fillId="4" borderId="96" xfId="1402" applyFont="1" applyFill="1" applyBorder="1" applyAlignment="1">
      <alignment vertical="center"/>
    </xf>
    <xf numFmtId="9" fontId="35" fillId="4" borderId="0" xfId="1402" applyFont="1" applyFill="1" applyBorder="1" applyAlignment="1">
      <alignment vertical="center"/>
    </xf>
    <xf numFmtId="9" fontId="35" fillId="4" borderId="130" xfId="1402" applyFont="1" applyFill="1" applyBorder="1" applyAlignment="1">
      <alignment vertical="center"/>
    </xf>
    <xf numFmtId="9" fontId="35" fillId="4" borderId="13" xfId="1402" applyFont="1" applyFill="1" applyBorder="1" applyAlignment="1">
      <alignment vertical="center"/>
    </xf>
    <xf numFmtId="190" fontId="31" fillId="0" borderId="0" xfId="1626" applyNumberFormat="1" applyFont="1" applyFill="1" applyBorder="1" applyAlignment="1">
      <alignment horizontal="right" vertical="center"/>
    </xf>
    <xf numFmtId="191" fontId="35" fillId="0" borderId="0" xfId="1626" applyNumberFormat="1" applyFont="1" applyFill="1" applyBorder="1" applyAlignment="1">
      <alignment horizontal="right" vertical="center"/>
    </xf>
    <xf numFmtId="190" fontId="31" fillId="0" borderId="0" xfId="2117" applyNumberFormat="1" applyFont="1" applyFill="1" applyBorder="1" applyAlignment="1">
      <alignment horizontal="right" vertical="center"/>
    </xf>
    <xf numFmtId="191" fontId="35" fillId="0" borderId="0" xfId="2117" applyNumberFormat="1" applyFont="1" applyFill="1" applyBorder="1" applyAlignment="1">
      <alignment horizontal="right" vertical="center"/>
    </xf>
    <xf numFmtId="190" fontId="31" fillId="0" borderId="0" xfId="1540" applyNumberFormat="1" applyFont="1" applyFill="1" applyBorder="1" applyAlignment="1">
      <alignment horizontal="right" vertical="center"/>
    </xf>
    <xf numFmtId="191" fontId="35" fillId="0" borderId="0" xfId="1540" applyNumberFormat="1" applyFont="1" applyFill="1" applyBorder="1" applyAlignment="1">
      <alignment horizontal="right" vertical="center"/>
    </xf>
    <xf numFmtId="0" fontId="18" fillId="0" borderId="0" xfId="2117" applyFont="1" applyFill="1" applyBorder="1"/>
    <xf numFmtId="0" fontId="11" fillId="0" borderId="0" xfId="2117" applyFont="1" applyFill="1" applyBorder="1"/>
    <xf numFmtId="0" fontId="31" fillId="0" borderId="0" xfId="2117" applyFont="1" applyFill="1" applyBorder="1" applyAlignment="1">
      <alignment horizontal="right" vertical="center" wrapText="1"/>
    </xf>
    <xf numFmtId="0" fontId="11" fillId="0" borderId="0" xfId="2117" applyFont="1" applyFill="1" applyBorder="1" applyAlignment="1">
      <alignment vertical="center"/>
    </xf>
    <xf numFmtId="38" fontId="31" fillId="0" borderId="0" xfId="1627" applyNumberFormat="1" applyFont="1" applyFill="1" applyBorder="1" applyAlignment="1">
      <alignment vertical="center"/>
    </xf>
    <xf numFmtId="0" fontId="18" fillId="0" borderId="0" xfId="2117" applyNumberFormat="1" applyFont="1" applyAlignment="1">
      <alignment vertical="center"/>
    </xf>
    <xf numFmtId="0" fontId="29" fillId="0" borderId="0" xfId="2117" applyFont="1" applyFill="1" applyBorder="1" applyAlignment="1">
      <alignment vertical="center" wrapText="1"/>
    </xf>
    <xf numFmtId="38" fontId="217" fillId="4" borderId="0" xfId="2118" applyNumberFormat="1" applyFont="1" applyFill="1" applyAlignment="1" applyProtection="1"/>
    <xf numFmtId="38" fontId="14" fillId="12" borderId="0" xfId="0" applyNumberFormat="1" applyFont="1" applyFill="1" applyBorder="1" applyAlignment="1">
      <alignment vertical="center"/>
    </xf>
    <xf numFmtId="38" fontId="14" fillId="12" borderId="130" xfId="0" applyNumberFormat="1" applyFont="1" applyFill="1" applyBorder="1" applyAlignment="1">
      <alignment vertical="center"/>
    </xf>
    <xf numFmtId="196" fontId="9" fillId="0" borderId="23" xfId="1548" applyNumberFormat="1" applyFont="1" applyBorder="1" applyAlignment="1">
      <alignment horizontal="right" vertical="center"/>
    </xf>
    <xf numFmtId="196" fontId="9" fillId="0" borderId="23" xfId="1548" applyNumberFormat="1" applyFont="1" applyBorder="1" applyAlignment="1">
      <alignment vertical="center"/>
    </xf>
    <xf numFmtId="38" fontId="253" fillId="0" borderId="0" xfId="2118" applyNumberFormat="1" applyFont="1" applyFill="1" applyBorder="1" applyAlignment="1" applyProtection="1">
      <alignment horizontal="left"/>
    </xf>
    <xf numFmtId="37" fontId="14" fillId="0" borderId="0" xfId="1540" applyNumberFormat="1" applyFont="1" applyFill="1" applyBorder="1" applyAlignment="1">
      <alignment horizontal="right" vertical="center" wrapText="1"/>
    </xf>
    <xf numFmtId="37" fontId="14" fillId="0" borderId="18" xfId="1540" applyNumberFormat="1" applyFont="1" applyFill="1" applyBorder="1" applyAlignment="1">
      <alignment horizontal="right" vertical="center" wrapText="1"/>
    </xf>
    <xf numFmtId="37" fontId="14" fillId="0" borderId="13" xfId="1540" applyNumberFormat="1" applyFont="1" applyFill="1" applyBorder="1" applyAlignment="1">
      <alignment horizontal="right" vertical="center" wrapText="1"/>
    </xf>
    <xf numFmtId="37" fontId="14" fillId="0" borderId="0" xfId="1548" applyNumberFormat="1" applyFont="1" applyFill="1" applyBorder="1" applyAlignment="1">
      <alignment horizontal="right" vertical="center" wrapText="1"/>
    </xf>
    <xf numFmtId="37" fontId="14" fillId="0" borderId="21" xfId="1540" applyNumberFormat="1" applyFont="1" applyFill="1" applyBorder="1" applyAlignment="1">
      <alignment horizontal="right" vertical="center" wrapText="1"/>
    </xf>
    <xf numFmtId="37" fontId="14" fillId="0" borderId="13" xfId="1548" applyNumberFormat="1" applyFont="1" applyFill="1" applyBorder="1" applyAlignment="1">
      <alignment horizontal="right" vertical="center" wrapText="1"/>
    </xf>
    <xf numFmtId="37" fontId="14" fillId="0" borderId="0" xfId="0" applyNumberFormat="1" applyFont="1" applyFill="1" applyBorder="1" applyAlignment="1">
      <alignment horizontal="right" vertical="center"/>
    </xf>
    <xf numFmtId="37" fontId="14" fillId="0" borderId="13" xfId="1540" applyNumberFormat="1" applyFont="1" applyFill="1" applyBorder="1" applyAlignment="1">
      <alignment vertical="center"/>
    </xf>
    <xf numFmtId="37" fontId="14" fillId="0" borderId="0" xfId="0" applyNumberFormat="1" applyFont="1" applyFill="1" applyBorder="1" applyAlignment="1">
      <alignment vertical="center"/>
    </xf>
    <xf numFmtId="37" fontId="14" fillId="0" borderId="18" xfId="0" applyNumberFormat="1" applyFont="1" applyFill="1" applyBorder="1" applyAlignment="1">
      <alignment vertical="center"/>
    </xf>
    <xf numFmtId="37" fontId="14" fillId="0" borderId="13" xfId="0" applyNumberFormat="1" applyFont="1" applyFill="1" applyBorder="1" applyAlignment="1">
      <alignment vertical="center"/>
    </xf>
    <xf numFmtId="37" fontId="14" fillId="0" borderId="18" xfId="1540" applyNumberFormat="1" applyFont="1" applyFill="1" applyBorder="1" applyAlignment="1">
      <alignment vertical="center"/>
    </xf>
    <xf numFmtId="37" fontId="14" fillId="0" borderId="0" xfId="1548" applyNumberFormat="1" applyFont="1" applyFill="1" applyBorder="1" applyAlignment="1">
      <alignment vertical="center"/>
    </xf>
    <xf numFmtId="41" fontId="14" fillId="0" borderId="18" xfId="0" applyNumberFormat="1" applyFont="1" applyFill="1" applyBorder="1" applyAlignment="1">
      <alignment vertical="center"/>
    </xf>
    <xf numFmtId="37" fontId="9" fillId="0" borderId="21" xfId="1540" applyNumberFormat="1" applyFont="1" applyFill="1" applyBorder="1" applyAlignment="1">
      <alignment vertical="center"/>
    </xf>
    <xf numFmtId="37" fontId="14" fillId="0" borderId="21" xfId="0" applyNumberFormat="1" applyFont="1" applyFill="1" applyBorder="1" applyAlignment="1">
      <alignment vertical="center"/>
    </xf>
    <xf numFmtId="37" fontId="14" fillId="0" borderId="21" xfId="0" applyNumberFormat="1" applyFont="1" applyFill="1" applyBorder="1" applyAlignment="1">
      <alignment horizontal="right" vertical="center" wrapText="1"/>
    </xf>
    <xf numFmtId="190" fontId="252" fillId="0" borderId="13" xfId="0" applyNumberFormat="1" applyFont="1" applyFill="1" applyBorder="1" applyAlignment="1">
      <alignment horizontal="right" vertical="center" wrapText="1"/>
    </xf>
    <xf numFmtId="37" fontId="14" fillId="0" borderId="13" xfId="0" applyNumberFormat="1" applyFont="1" applyFill="1" applyBorder="1" applyAlignment="1">
      <alignment horizontal="right" vertical="center" wrapText="1"/>
    </xf>
    <xf numFmtId="37" fontId="9" fillId="0" borderId="18" xfId="0" applyNumberFormat="1" applyFont="1" applyFill="1" applyBorder="1" applyAlignment="1">
      <alignment horizontal="right" vertical="center" wrapText="1"/>
    </xf>
    <xf numFmtId="37" fontId="9" fillId="0" borderId="0" xfId="0" applyNumberFormat="1" applyFont="1" applyFill="1" applyBorder="1" applyAlignment="1">
      <alignment horizontal="right" vertical="center" wrapText="1"/>
    </xf>
    <xf numFmtId="0" fontId="14" fillId="12" borderId="131" xfId="2117" applyFont="1" applyFill="1" applyBorder="1" applyAlignment="1">
      <alignment horizontal="right" vertical="center"/>
    </xf>
    <xf numFmtId="0" fontId="14" fillId="12" borderId="132" xfId="2117" applyFont="1" applyFill="1" applyBorder="1" applyAlignment="1">
      <alignment horizontal="right" vertical="center"/>
    </xf>
    <xf numFmtId="10" fontId="31" fillId="0" borderId="96" xfId="1402" applyNumberFormat="1" applyFont="1" applyFill="1" applyBorder="1" applyAlignment="1">
      <alignment vertical="center"/>
    </xf>
    <xf numFmtId="41" fontId="31" fillId="0" borderId="0" xfId="1543" applyNumberFormat="1" applyFont="1" applyFill="1" applyBorder="1" applyAlignment="1">
      <alignment vertical="center"/>
    </xf>
    <xf numFmtId="41" fontId="31" fillId="0" borderId="130" xfId="1543" applyNumberFormat="1" applyFont="1" applyFill="1" applyBorder="1" applyAlignment="1">
      <alignment vertical="center"/>
    </xf>
    <xf numFmtId="41" fontId="31" fillId="0" borderId="13" xfId="1543" applyNumberFormat="1" applyFont="1" applyFill="1" applyBorder="1" applyAlignment="1">
      <alignment vertical="center"/>
    </xf>
    <xf numFmtId="41" fontId="31" fillId="0" borderId="23" xfId="1543" applyFont="1" applyFill="1" applyBorder="1" applyAlignment="1">
      <alignment vertical="center"/>
    </xf>
    <xf numFmtId="38" fontId="171" fillId="12" borderId="84" xfId="0" applyNumberFormat="1" applyFont="1" applyFill="1" applyBorder="1" applyAlignment="1">
      <alignment horizontal="left" indent="2"/>
    </xf>
    <xf numFmtId="38" fontId="171" fillId="12" borderId="85" xfId="0" applyNumberFormat="1" applyFont="1" applyFill="1" applyBorder="1" applyAlignment="1">
      <alignment horizontal="left" indent="2"/>
    </xf>
    <xf numFmtId="38" fontId="171" fillId="12" borderId="86" xfId="0" applyNumberFormat="1" applyFont="1" applyFill="1" applyBorder="1" applyAlignment="1">
      <alignment horizontal="left" indent="2"/>
    </xf>
    <xf numFmtId="196" fontId="9" fillId="0" borderId="21" xfId="1540" applyNumberFormat="1" applyFont="1" applyFill="1" applyBorder="1" applyAlignment="1">
      <alignment horizontal="right" vertical="center"/>
    </xf>
    <xf numFmtId="196" fontId="14" fillId="0" borderId="21" xfId="1540" applyNumberFormat="1" applyFont="1" applyFill="1" applyBorder="1" applyAlignment="1">
      <alignment horizontal="right" vertical="center"/>
    </xf>
    <xf numFmtId="196" fontId="9" fillId="0" borderId="97" xfId="1540" applyNumberFormat="1" applyFont="1" applyFill="1" applyBorder="1" applyAlignment="1">
      <alignment horizontal="right" vertical="center"/>
    </xf>
    <xf numFmtId="38" fontId="11" fillId="4" borderId="0" xfId="2116" applyFont="1" applyBorder="1" applyAlignment="1">
      <alignment horizontal="left" indent="5"/>
    </xf>
    <xf numFmtId="38" fontId="40" fillId="0" borderId="0" xfId="0" applyNumberFormat="1" applyFont="1" applyFill="1" applyBorder="1" applyAlignment="1">
      <alignment horizontal="right"/>
    </xf>
    <xf numFmtId="38" fontId="213" fillId="12" borderId="21" xfId="0" applyNumberFormat="1" applyFont="1" applyFill="1" applyBorder="1" applyAlignment="1">
      <alignment vertical="center"/>
    </xf>
    <xf numFmtId="38" fontId="44" fillId="0" borderId="17" xfId="0" applyNumberFormat="1" applyFont="1" applyFill="1" applyBorder="1" applyAlignment="1"/>
    <xf numFmtId="38" fontId="14" fillId="0" borderId="133" xfId="1627" applyNumberFormat="1" applyFont="1" applyFill="1" applyBorder="1" applyAlignment="1">
      <alignment vertical="center"/>
    </xf>
    <xf numFmtId="187" fontId="14" fillId="0" borderId="134" xfId="2117" applyNumberFormat="1" applyFont="1" applyFill="1" applyBorder="1" applyAlignment="1">
      <alignment vertical="center"/>
    </xf>
    <xf numFmtId="38" fontId="9" fillId="0" borderId="133" xfId="1627" applyNumberFormat="1" applyFont="1" applyFill="1" applyBorder="1" applyAlignment="1">
      <alignment vertical="center"/>
    </xf>
    <xf numFmtId="2" fontId="14" fillId="0" borderId="134" xfId="2117" applyNumberFormat="1" applyFont="1" applyFill="1" applyBorder="1" applyAlignment="1">
      <alignment vertical="center"/>
    </xf>
    <xf numFmtId="0" fontId="78" fillId="0" borderId="134" xfId="2117" applyFont="1" applyFill="1" applyBorder="1" applyAlignment="1">
      <alignment vertical="center"/>
    </xf>
    <xf numFmtId="38" fontId="21" fillId="10" borderId="98" xfId="0" applyNumberFormat="1" applyFont="1" applyFill="1" applyBorder="1" applyAlignment="1">
      <alignment horizontal="center" vertical="center"/>
    </xf>
    <xf numFmtId="196" fontId="9" fillId="0" borderId="0" xfId="0" applyNumberFormat="1" applyFont="1" applyFill="1" applyBorder="1" applyAlignment="1">
      <alignment horizontal="center" vertical="center"/>
    </xf>
    <xf numFmtId="38" fontId="36" fillId="0" borderId="0" xfId="0" applyNumberFormat="1" applyFont="1" applyFill="1" applyBorder="1" applyAlignment="1">
      <alignment vertical="center"/>
    </xf>
    <xf numFmtId="38" fontId="45" fillId="10" borderId="0" xfId="0" applyNumberFormat="1" applyFont="1" applyFill="1" applyBorder="1" applyAlignment="1">
      <alignment horizontal="center" vertical="center" wrapText="1"/>
    </xf>
    <xf numFmtId="10" fontId="31" fillId="4" borderId="0" xfId="1401" applyNumberFormat="1" applyFont="1" applyFill="1" applyBorder="1" applyAlignment="1"/>
    <xf numFmtId="10" fontId="31" fillId="4" borderId="0" xfId="1401" applyNumberFormat="1" applyFont="1" applyFill="1" applyAlignment="1"/>
    <xf numFmtId="41" fontId="40" fillId="0" borderId="0" xfId="1540" quotePrefix="1" applyFont="1" applyBorder="1" applyAlignment="1">
      <alignment horizontal="left"/>
    </xf>
    <xf numFmtId="0" fontId="22" fillId="4" borderId="0" xfId="2118" applyNumberFormat="1" applyFont="1" applyFill="1" applyBorder="1" applyAlignment="1" applyProtection="1">
      <alignment horizontal="left" vertical="center"/>
    </xf>
    <xf numFmtId="191" fontId="35" fillId="0" borderId="31" xfId="1540" applyNumberFormat="1" applyFont="1" applyFill="1" applyBorder="1" applyAlignment="1">
      <alignment horizontal="right" vertical="center"/>
    </xf>
    <xf numFmtId="0" fontId="22" fillId="4" borderId="0" xfId="2118" applyNumberFormat="1" applyFont="1" applyFill="1" applyBorder="1" applyAlignment="1" applyProtection="1">
      <alignment horizontal="left" vertical="center"/>
    </xf>
    <xf numFmtId="38" fontId="14" fillId="0" borderId="0" xfId="0" applyNumberFormat="1" applyFont="1" applyFill="1" applyBorder="1" applyAlignment="1">
      <alignment horizontal="left" vertical="center"/>
    </xf>
    <xf numFmtId="38" fontId="255" fillId="4" borderId="21" xfId="0" applyNumberFormat="1" applyFont="1" applyFill="1" applyBorder="1" applyAlignment="1"/>
    <xf numFmtId="41" fontId="254" fillId="0" borderId="0" xfId="1540" applyFont="1" applyBorder="1" applyAlignment="1">
      <alignment vertical="center"/>
    </xf>
    <xf numFmtId="41" fontId="254" fillId="0" borderId="18" xfId="1540" applyFont="1" applyBorder="1" applyAlignment="1">
      <alignment vertical="center"/>
    </xf>
    <xf numFmtId="181" fontId="254" fillId="0" borderId="0" xfId="1540" applyNumberFormat="1" applyFont="1" applyBorder="1" applyAlignment="1">
      <alignment vertical="center"/>
    </xf>
    <xf numFmtId="38" fontId="255" fillId="0" borderId="21" xfId="0" applyNumberFormat="1" applyFont="1" applyBorder="1" applyAlignment="1"/>
    <xf numFmtId="38" fontId="255" fillId="4" borderId="13" xfId="0" applyNumberFormat="1" applyFont="1" applyFill="1" applyBorder="1" applyAlignment="1"/>
    <xf numFmtId="38" fontId="255" fillId="0" borderId="23" xfId="0" applyNumberFormat="1" applyFont="1" applyBorder="1" applyAlignment="1"/>
    <xf numFmtId="182" fontId="31" fillId="4" borderId="0" xfId="1401" applyNumberFormat="1" applyFont="1" applyFill="1" applyBorder="1" applyAlignment="1">
      <alignment horizontal="right"/>
    </xf>
    <xf numFmtId="0" fontId="14" fillId="12" borderId="54" xfId="2117" applyFont="1" applyFill="1" applyBorder="1" applyAlignment="1">
      <alignment horizontal="right" vertical="center"/>
    </xf>
    <xf numFmtId="0" fontId="14" fillId="12" borderId="53" xfId="2117" applyFont="1" applyFill="1" applyBorder="1" applyAlignment="1">
      <alignment horizontal="right" vertical="center"/>
    </xf>
    <xf numFmtId="0" fontId="14" fillId="12" borderId="18" xfId="2117" applyFont="1" applyFill="1" applyBorder="1" applyAlignment="1">
      <alignment horizontal="right" vertical="center"/>
    </xf>
    <xf numFmtId="38" fontId="202" fillId="0" borderId="139" xfId="0" applyNumberFormat="1" applyFont="1" applyFill="1" applyBorder="1" applyAlignment="1">
      <alignment vertical="top"/>
    </xf>
    <xf numFmtId="38" fontId="79" fillId="0" borderId="42" xfId="2117" applyNumberFormat="1" applyFont="1" applyFill="1" applyBorder="1" applyAlignment="1">
      <alignment vertical="center"/>
    </xf>
    <xf numFmtId="187" fontId="14" fillId="0" borderId="48" xfId="2117" applyNumberFormat="1" applyFont="1" applyFill="1" applyBorder="1" applyAlignment="1">
      <alignment vertical="center"/>
    </xf>
    <xf numFmtId="41" fontId="56" fillId="0" borderId="0" xfId="1540" applyFont="1" applyFill="1" applyBorder="1" applyAlignment="1"/>
    <xf numFmtId="38" fontId="255" fillId="0" borderId="21" xfId="1627" applyNumberFormat="1" applyFont="1" applyBorder="1" applyAlignment="1">
      <alignment vertical="center"/>
    </xf>
    <xf numFmtId="184" fontId="255" fillId="0" borderId="21" xfId="2117" applyNumberFormat="1" applyFont="1" applyBorder="1" applyAlignment="1">
      <alignment vertical="center"/>
    </xf>
    <xf numFmtId="184" fontId="255" fillId="0" borderId="66" xfId="2117" applyNumberFormat="1" applyFont="1" applyBorder="1" applyAlignment="1">
      <alignment vertical="center"/>
    </xf>
    <xf numFmtId="38" fontId="255" fillId="0" borderId="21" xfId="2117" applyNumberFormat="1" applyFont="1" applyBorder="1" applyAlignment="1">
      <alignment vertical="center"/>
    </xf>
    <xf numFmtId="38" fontId="255" fillId="0" borderId="66" xfId="2117" applyNumberFormat="1" applyFont="1" applyBorder="1" applyAlignment="1">
      <alignment vertical="center"/>
    </xf>
    <xf numFmtId="184" fontId="255" fillId="0" borderId="21" xfId="1627" applyNumberFormat="1" applyFont="1" applyBorder="1" applyAlignment="1">
      <alignment vertical="center"/>
    </xf>
    <xf numFmtId="255" fontId="255" fillId="44" borderId="21" xfId="1628" applyNumberFormat="1" applyFont="1" applyFill="1" applyBorder="1" applyAlignment="1">
      <alignment vertical="center"/>
    </xf>
    <xf numFmtId="255" fontId="255" fillId="44" borderId="13" xfId="1628" applyNumberFormat="1" applyFont="1" applyFill="1" applyBorder="1" applyAlignment="1">
      <alignment vertical="center"/>
    </xf>
    <xf numFmtId="255" fontId="254" fillId="0" borderId="0" xfId="1628" applyNumberFormat="1" applyFont="1" applyFill="1" applyBorder="1" applyAlignment="1">
      <alignment vertical="center"/>
    </xf>
    <xf numFmtId="38" fontId="255" fillId="4" borderId="0" xfId="1628" applyNumberFormat="1" applyFont="1" applyFill="1" applyBorder="1" applyAlignment="1">
      <alignment vertical="center"/>
    </xf>
    <xf numFmtId="38" fontId="255" fillId="4" borderId="18" xfId="1628" applyNumberFormat="1" applyFont="1" applyFill="1" applyBorder="1" applyAlignment="1">
      <alignment vertical="center"/>
    </xf>
    <xf numFmtId="38" fontId="14" fillId="0" borderId="0" xfId="0" applyNumberFormat="1" applyFont="1" applyFill="1" applyBorder="1" applyAlignment="1">
      <alignment vertical="center"/>
    </xf>
    <xf numFmtId="37" fontId="256" fillId="0" borderId="0" xfId="1540" applyNumberFormat="1" applyFont="1" applyBorder="1" applyAlignment="1">
      <alignment horizontal="right" vertical="center" wrapText="1"/>
    </xf>
    <xf numFmtId="37" fontId="256" fillId="0" borderId="0" xfId="0" applyNumberFormat="1" applyFont="1" applyBorder="1" applyAlignment="1">
      <alignment horizontal="left" vertical="center" wrapText="1"/>
    </xf>
    <xf numFmtId="37" fontId="256" fillId="0" borderId="0" xfId="0" applyNumberFormat="1" applyFont="1" applyBorder="1" applyAlignment="1">
      <alignment horizontal="left" vertical="top" wrapText="1"/>
    </xf>
    <xf numFmtId="41" fontId="9" fillId="0" borderId="0" xfId="1540" applyFont="1" applyBorder="1" applyAlignment="1">
      <alignment vertical="center"/>
    </xf>
    <xf numFmtId="38" fontId="14" fillId="0" borderId="21" xfId="1627" applyNumberFormat="1" applyFont="1" applyBorder="1" applyAlignment="1">
      <alignment vertical="center"/>
    </xf>
    <xf numFmtId="38" fontId="9" fillId="0" borderId="21" xfId="1627" applyNumberFormat="1" applyFont="1" applyBorder="1" applyAlignment="1">
      <alignment vertical="center"/>
    </xf>
    <xf numFmtId="38" fontId="9" fillId="0" borderId="65" xfId="1627" applyNumberFormat="1" applyFont="1" applyBorder="1" applyAlignment="1">
      <alignment vertical="center"/>
    </xf>
    <xf numFmtId="38" fontId="14" fillId="0" borderId="65" xfId="1627" applyNumberFormat="1" applyFont="1" applyBorder="1" applyAlignment="1">
      <alignment vertical="center"/>
    </xf>
    <xf numFmtId="41" fontId="14" fillId="0" borderId="65" xfId="1540" applyFont="1" applyBorder="1" applyAlignment="1">
      <alignment vertical="center"/>
    </xf>
    <xf numFmtId="41" fontId="9" fillId="0" borderId="65" xfId="1540" applyFont="1" applyBorder="1" applyAlignment="1">
      <alignment vertical="center"/>
    </xf>
    <xf numFmtId="9" fontId="35" fillId="4" borderId="23" xfId="1401" applyFont="1" applyFill="1" applyBorder="1" applyAlignment="1">
      <alignment vertical="center"/>
    </xf>
    <xf numFmtId="38" fontId="35" fillId="4" borderId="23" xfId="0" applyNumberFormat="1" applyFont="1" applyFill="1" applyBorder="1" applyAlignment="1">
      <alignment vertical="center"/>
    </xf>
    <xf numFmtId="182" fontId="35" fillId="4" borderId="23" xfId="1401" applyNumberFormat="1" applyFont="1" applyFill="1" applyBorder="1" applyAlignment="1">
      <alignment horizontal="right" vertical="center"/>
    </xf>
    <xf numFmtId="185" fontId="35" fillId="4" borderId="23" xfId="1401" applyNumberFormat="1" applyFont="1" applyFill="1" applyBorder="1" applyAlignment="1">
      <alignment horizontal="left" vertical="center"/>
    </xf>
    <xf numFmtId="255" fontId="260" fillId="44" borderId="27" xfId="0" applyNumberFormat="1" applyFont="1" applyFill="1" applyBorder="1" applyAlignment="1">
      <alignment horizontal="right" vertical="center"/>
    </xf>
    <xf numFmtId="9" fontId="259" fillId="44" borderId="37" xfId="1417" applyFont="1" applyFill="1" applyBorder="1" applyAlignment="1">
      <alignment horizontal="center" vertical="center"/>
    </xf>
    <xf numFmtId="9" fontId="259" fillId="44" borderId="21" xfId="1417" applyFont="1" applyFill="1" applyBorder="1" applyAlignment="1">
      <alignment horizontal="center" vertical="center"/>
    </xf>
    <xf numFmtId="9" fontId="260" fillId="44" borderId="23" xfId="1417" applyFont="1" applyFill="1" applyBorder="1" applyAlignment="1">
      <alignment horizontal="center" vertical="center"/>
    </xf>
    <xf numFmtId="38" fontId="261" fillId="0" borderId="0" xfId="0" applyNumberFormat="1" applyFont="1" applyFill="1" applyBorder="1" applyAlignment="1"/>
    <xf numFmtId="255" fontId="259" fillId="44" borderId="37" xfId="0" applyNumberFormat="1" applyFont="1" applyFill="1" applyBorder="1">
      <alignment vertical="center"/>
    </xf>
    <xf numFmtId="255" fontId="259" fillId="44" borderId="21" xfId="0" applyNumberFormat="1" applyFont="1" applyFill="1" applyBorder="1">
      <alignment vertical="center"/>
    </xf>
    <xf numFmtId="255" fontId="259" fillId="44" borderId="23" xfId="0" applyNumberFormat="1" applyFont="1" applyFill="1" applyBorder="1">
      <alignment vertical="center"/>
    </xf>
    <xf numFmtId="182" fontId="260" fillId="44" borderId="37" xfId="1417" applyNumberFormat="1" applyFont="1" applyFill="1" applyBorder="1" applyAlignment="1">
      <alignment horizontal="center" vertical="center"/>
    </xf>
    <xf numFmtId="182" fontId="260" fillId="44" borderId="21" xfId="1417" applyNumberFormat="1" applyFont="1" applyFill="1" applyBorder="1" applyAlignment="1">
      <alignment horizontal="center" vertical="center"/>
    </xf>
    <xf numFmtId="182" fontId="260" fillId="44" borderId="23" xfId="1417" applyNumberFormat="1" applyFont="1" applyFill="1" applyBorder="1" applyAlignment="1">
      <alignment horizontal="center" vertical="center"/>
    </xf>
    <xf numFmtId="38" fontId="252" fillId="44" borderId="89" xfId="0" applyNumberFormat="1" applyFont="1" applyFill="1" applyBorder="1" applyAlignment="1"/>
    <xf numFmtId="182" fontId="252" fillId="44" borderId="25" xfId="1417" applyNumberFormat="1" applyFont="1" applyFill="1" applyBorder="1"/>
    <xf numFmtId="182" fontId="252" fillId="44" borderId="18" xfId="1417" applyNumberFormat="1" applyFont="1" applyFill="1" applyBorder="1"/>
    <xf numFmtId="38" fontId="252" fillId="44" borderId="26" xfId="0" applyNumberFormat="1" applyFont="1" applyFill="1" applyBorder="1" applyAlignment="1"/>
    <xf numFmtId="38" fontId="252" fillId="44" borderId="21" xfId="0" applyNumberFormat="1" applyFont="1" applyFill="1" applyBorder="1" applyAlignment="1"/>
    <xf numFmtId="38" fontId="252" fillId="44" borderId="87" xfId="0" applyNumberFormat="1" applyFont="1" applyFill="1" applyBorder="1" applyAlignment="1"/>
    <xf numFmtId="38" fontId="252" fillId="44" borderId="92" xfId="0" applyNumberFormat="1" applyFont="1" applyFill="1" applyBorder="1" applyAlignment="1"/>
    <xf numFmtId="10" fontId="252" fillId="44" borderId="90" xfId="0" applyNumberFormat="1" applyFont="1" applyFill="1" applyBorder="1" applyAlignment="1"/>
    <xf numFmtId="10" fontId="252" fillId="44" borderId="91" xfId="0" applyNumberFormat="1" applyFont="1" applyFill="1" applyBorder="1" applyAlignment="1"/>
    <xf numFmtId="182" fontId="252" fillId="44" borderId="26" xfId="1417" applyNumberFormat="1" applyFont="1" applyFill="1" applyBorder="1"/>
    <xf numFmtId="182" fontId="252" fillId="44" borderId="21" xfId="1417" applyNumberFormat="1" applyFont="1" applyFill="1" applyBorder="1"/>
    <xf numFmtId="38" fontId="262" fillId="44" borderId="92" xfId="0" applyNumberFormat="1" applyFont="1" applyFill="1" applyBorder="1" applyAlignment="1"/>
    <xf numFmtId="38" fontId="262" fillId="44" borderId="26" xfId="0" applyNumberFormat="1" applyFont="1" applyFill="1" applyBorder="1" applyAlignment="1"/>
    <xf numFmtId="10" fontId="262" fillId="44" borderId="32" xfId="0" applyNumberFormat="1" applyFont="1" applyFill="1" applyBorder="1" applyAlignment="1"/>
    <xf numFmtId="10" fontId="262" fillId="44" borderId="30" xfId="0" applyNumberFormat="1" applyFont="1" applyFill="1" applyBorder="1" applyAlignment="1"/>
    <xf numFmtId="177" fontId="252" fillId="0" borderId="21" xfId="0" applyNumberFormat="1" applyFont="1" applyBorder="1" applyAlignment="1">
      <alignment vertical="center"/>
    </xf>
    <xf numFmtId="177" fontId="252" fillId="0" borderId="13" xfId="0" applyNumberFormat="1" applyFont="1" applyBorder="1" applyAlignment="1">
      <alignment vertical="center"/>
    </xf>
    <xf numFmtId="38" fontId="262" fillId="0" borderId="23" xfId="0" applyNumberFormat="1" applyFont="1" applyBorder="1" applyAlignment="1">
      <alignment vertical="center"/>
    </xf>
    <xf numFmtId="177" fontId="262" fillId="0" borderId="23" xfId="0" applyNumberFormat="1" applyFont="1" applyBorder="1" applyAlignment="1">
      <alignment vertical="center"/>
    </xf>
    <xf numFmtId="38" fontId="76" fillId="0" borderId="0" xfId="0" applyNumberFormat="1" applyFont="1" applyFill="1" applyBorder="1" applyAlignment="1">
      <alignment vertical="center"/>
    </xf>
    <xf numFmtId="40" fontId="5" fillId="0" borderId="0" xfId="0" applyNumberFormat="1" applyFont="1" applyFill="1" applyBorder="1" applyAlignment="1">
      <alignment vertical="center"/>
    </xf>
    <xf numFmtId="187" fontId="254" fillId="0" borderId="0" xfId="2117" applyNumberFormat="1" applyFont="1" applyBorder="1" applyAlignment="1">
      <alignment vertical="center"/>
    </xf>
    <xf numFmtId="10" fontId="14" fillId="0" borderId="0" xfId="1401" applyNumberFormat="1" applyFont="1" applyBorder="1" applyAlignment="1"/>
    <xf numFmtId="38" fontId="9" fillId="4" borderId="43" xfId="0" applyNumberFormat="1" applyFont="1" applyFill="1" applyBorder="1" applyAlignment="1"/>
    <xf numFmtId="186" fontId="9" fillId="4" borderId="21" xfId="1540" applyNumberFormat="1" applyFont="1" applyFill="1" applyBorder="1" applyAlignment="1"/>
    <xf numFmtId="186" fontId="9" fillId="4" borderId="44" xfId="1540" applyNumberFormat="1" applyFont="1" applyFill="1" applyBorder="1" applyAlignment="1"/>
    <xf numFmtId="184" fontId="9" fillId="4" borderId="21" xfId="0" applyNumberFormat="1" applyFont="1" applyFill="1" applyBorder="1" applyAlignment="1"/>
    <xf numFmtId="38" fontId="9" fillId="4" borderId="45" xfId="0" applyNumberFormat="1" applyFont="1" applyFill="1" applyBorder="1" applyAlignment="1"/>
    <xf numFmtId="186" fontId="14" fillId="4" borderId="21" xfId="1540" applyNumberFormat="1" applyFont="1" applyFill="1" applyBorder="1" applyAlignment="1"/>
    <xf numFmtId="186" fontId="14" fillId="4" borderId="44" xfId="1540" applyNumberFormat="1" applyFont="1" applyFill="1" applyBorder="1" applyAlignment="1"/>
    <xf numFmtId="184" fontId="14" fillId="4" borderId="21" xfId="0" applyNumberFormat="1" applyFont="1" applyFill="1" applyBorder="1" applyAlignment="1"/>
    <xf numFmtId="38" fontId="14" fillId="4" borderId="45" xfId="0" applyNumberFormat="1" applyFont="1" applyFill="1" applyBorder="1" applyAlignment="1"/>
    <xf numFmtId="195" fontId="14" fillId="4" borderId="44" xfId="1540" applyNumberFormat="1" applyFont="1" applyFill="1" applyBorder="1" applyAlignment="1"/>
    <xf numFmtId="186" fontId="14" fillId="4" borderId="46" xfId="1540" applyNumberFormat="1" applyFont="1" applyFill="1" applyBorder="1" applyAlignment="1"/>
    <xf numFmtId="186" fontId="14" fillId="4" borderId="47" xfId="1540" applyNumberFormat="1" applyFont="1" applyFill="1" applyBorder="1" applyAlignment="1"/>
    <xf numFmtId="184" fontId="14" fillId="4" borderId="48" xfId="0" applyNumberFormat="1" applyFont="1" applyFill="1" applyBorder="1" applyAlignment="1"/>
    <xf numFmtId="38" fontId="14" fillId="4" borderId="49" xfId="0" applyNumberFormat="1" applyFont="1" applyFill="1" applyBorder="1" applyAlignment="1"/>
    <xf numFmtId="184" fontId="9" fillId="4" borderId="49" xfId="0" applyNumberFormat="1" applyFont="1" applyFill="1" applyBorder="1" applyAlignment="1"/>
    <xf numFmtId="182" fontId="9" fillId="4" borderId="21" xfId="0" applyNumberFormat="1" applyFont="1" applyFill="1" applyBorder="1" applyAlignment="1"/>
    <xf numFmtId="38" fontId="9" fillId="4" borderId="21" xfId="0" applyNumberFormat="1" applyFont="1" applyFill="1" applyBorder="1" applyAlignment="1">
      <alignment horizontal="right"/>
    </xf>
    <xf numFmtId="38" fontId="14" fillId="4" borderId="21" xfId="0" applyNumberFormat="1" applyFont="1" applyFill="1" applyBorder="1" applyAlignment="1">
      <alignment horizontal="right"/>
    </xf>
    <xf numFmtId="182" fontId="9" fillId="4" borderId="21" xfId="1401" applyNumberFormat="1" applyFont="1" applyFill="1" applyBorder="1" applyAlignment="1"/>
    <xf numFmtId="41" fontId="9" fillId="4" borderId="21" xfId="1540" applyFont="1" applyFill="1" applyBorder="1" applyAlignment="1">
      <alignment horizontal="right"/>
    </xf>
    <xf numFmtId="182" fontId="14" fillId="4" borderId="23" xfId="1401" applyNumberFormat="1" applyFont="1" applyFill="1" applyBorder="1" applyAlignment="1"/>
    <xf numFmtId="38" fontId="9" fillId="0" borderId="21" xfId="0" applyNumberFormat="1" applyFont="1" applyFill="1" applyBorder="1" applyAlignment="1">
      <alignment horizontal="right"/>
    </xf>
    <xf numFmtId="182" fontId="35" fillId="0" borderId="0" xfId="1401" applyNumberFormat="1" applyFont="1" applyFill="1" applyBorder="1" applyAlignment="1">
      <alignment horizontal="right" vertical="center"/>
    </xf>
    <xf numFmtId="38" fontId="14" fillId="0" borderId="21" xfId="2117" applyNumberFormat="1" applyFont="1" applyBorder="1" applyAlignment="1">
      <alignment vertical="center"/>
    </xf>
    <xf numFmtId="184" fontId="14" fillId="0" borderId="66" xfId="2117" applyNumberFormat="1" applyFont="1" applyBorder="1" applyAlignment="1">
      <alignment vertical="center"/>
    </xf>
    <xf numFmtId="255" fontId="9" fillId="44" borderId="21" xfId="1628" applyNumberFormat="1" applyFont="1" applyFill="1" applyBorder="1" applyAlignment="1">
      <alignment vertical="center"/>
    </xf>
    <xf numFmtId="182" fontId="252" fillId="12" borderId="71" xfId="1402" applyNumberFormat="1" applyFont="1" applyFill="1" applyBorder="1" applyAlignment="1">
      <alignment vertical="center" wrapText="1"/>
    </xf>
    <xf numFmtId="182" fontId="262" fillId="12" borderId="72" xfId="1402" applyNumberFormat="1" applyFont="1" applyFill="1" applyBorder="1" applyAlignment="1">
      <alignment vertical="center" wrapText="1"/>
    </xf>
    <xf numFmtId="0" fontId="29" fillId="10" borderId="0" xfId="2117" applyFont="1" applyFill="1" applyBorder="1" applyAlignment="1">
      <alignment horizontal="center" vertical="center"/>
    </xf>
    <xf numFmtId="196" fontId="14" fillId="0" borderId="21" xfId="1543" applyNumberFormat="1" applyFont="1" applyFill="1" applyBorder="1" applyAlignment="1">
      <alignment horizontal="right" vertical="center"/>
    </xf>
    <xf numFmtId="196" fontId="9" fillId="0" borderId="21" xfId="1543" applyNumberFormat="1" applyFont="1" applyFill="1" applyBorder="1" applyAlignment="1">
      <alignment horizontal="right" vertical="center"/>
    </xf>
    <xf numFmtId="38" fontId="9" fillId="0" borderId="23" xfId="0" applyNumberFormat="1" applyFont="1" applyFill="1" applyBorder="1" applyAlignment="1"/>
    <xf numFmtId="37" fontId="35" fillId="0" borderId="8" xfId="0" applyNumberFormat="1" applyFont="1" applyFill="1" applyBorder="1" applyAlignment="1">
      <alignment vertical="center" wrapText="1"/>
    </xf>
    <xf numFmtId="38" fontId="0" fillId="0" borderId="52" xfId="0" applyNumberFormat="1" applyFont="1" applyFill="1" applyBorder="1" applyAlignment="1">
      <alignment vertical="center" wrapText="1"/>
    </xf>
    <xf numFmtId="191" fontId="260" fillId="0" borderId="24" xfId="1626" applyNumberFormat="1" applyFont="1" applyFill="1" applyBorder="1" applyAlignment="1">
      <alignment horizontal="right" vertical="center"/>
    </xf>
    <xf numFmtId="191" fontId="260" fillId="0" borderId="28" xfId="2117" applyNumberFormat="1" applyFont="1" applyFill="1" applyBorder="1" applyAlignment="1">
      <alignment horizontal="right" vertical="center"/>
    </xf>
    <xf numFmtId="191" fontId="260" fillId="0" borderId="29" xfId="2117" applyNumberFormat="1" applyFont="1" applyFill="1" applyBorder="1" applyAlignment="1">
      <alignment horizontal="right" vertical="center"/>
    </xf>
    <xf numFmtId="191" fontId="260" fillId="0" borderId="29" xfId="1626" applyNumberFormat="1" applyFont="1" applyFill="1" applyBorder="1" applyAlignment="1">
      <alignment horizontal="right" vertical="center"/>
    </xf>
    <xf numFmtId="191" fontId="260" fillId="0" borderId="88" xfId="1626" applyNumberFormat="1" applyFont="1" applyFill="1" applyBorder="1" applyAlignment="1">
      <alignment horizontal="right" vertical="center"/>
    </xf>
    <xf numFmtId="191" fontId="260" fillId="0" borderId="31" xfId="1540" applyNumberFormat="1" applyFont="1" applyFill="1" applyBorder="1" applyAlignment="1">
      <alignment horizontal="right" vertical="center"/>
    </xf>
    <xf numFmtId="187" fontId="252" fillId="0" borderId="21" xfId="2117" applyNumberFormat="1" applyFont="1" applyFill="1" applyBorder="1" applyAlignment="1">
      <alignment vertical="center"/>
    </xf>
    <xf numFmtId="2" fontId="252" fillId="0" borderId="21" xfId="2117" applyNumberFormat="1" applyFont="1" applyFill="1" applyBorder="1" applyAlignment="1">
      <alignment vertical="center"/>
    </xf>
    <xf numFmtId="0" fontId="254" fillId="0" borderId="21" xfId="2117" applyFont="1" applyFill="1" applyBorder="1" applyAlignment="1">
      <alignment vertical="center"/>
    </xf>
    <xf numFmtId="38" fontId="255" fillId="0" borderId="23" xfId="2117" applyNumberFormat="1" applyFont="1" applyFill="1" applyBorder="1" applyAlignment="1">
      <alignment vertical="center"/>
    </xf>
    <xf numFmtId="187" fontId="252" fillId="0" borderId="23" xfId="2117" applyNumberFormat="1" applyFont="1" applyFill="1" applyBorder="1" applyAlignment="1">
      <alignment vertical="center"/>
    </xf>
    <xf numFmtId="0" fontId="32" fillId="0" borderId="0" xfId="2117" applyFont="1" applyFill="1" applyBorder="1" applyAlignment="1">
      <alignment horizontal="center" vertical="center"/>
    </xf>
    <xf numFmtId="196" fontId="14" fillId="0" borderId="0" xfId="1548" applyNumberFormat="1" applyFont="1" applyBorder="1" applyAlignment="1">
      <alignment vertical="center"/>
    </xf>
    <xf numFmtId="196" fontId="9" fillId="0" borderId="0" xfId="1548" applyNumberFormat="1" applyFont="1" applyBorder="1" applyAlignment="1">
      <alignment horizontal="right" vertical="center"/>
    </xf>
    <xf numFmtId="41" fontId="9" fillId="0" borderId="0" xfId="1548" applyNumberFormat="1" applyFont="1" applyBorder="1" applyAlignment="1">
      <alignment horizontal="right" vertical="center"/>
    </xf>
    <xf numFmtId="196" fontId="9" fillId="0" borderId="0" xfId="1548" applyNumberFormat="1" applyFont="1" applyBorder="1" applyAlignment="1">
      <alignment vertical="center"/>
    </xf>
    <xf numFmtId="187" fontId="14" fillId="0" borderId="0" xfId="2117" applyNumberFormat="1" applyFont="1" applyFill="1" applyBorder="1" applyAlignment="1">
      <alignment vertical="center"/>
    </xf>
    <xf numFmtId="41" fontId="14" fillId="0" borderId="0" xfId="2117" applyNumberFormat="1" applyFont="1" applyFill="1" applyBorder="1" applyAlignment="1">
      <alignment vertical="center"/>
    </xf>
    <xf numFmtId="255" fontId="259" fillId="0" borderId="89" xfId="0" applyNumberFormat="1" applyFont="1" applyFill="1" applyBorder="1" applyAlignment="1">
      <alignment horizontal="right" vertical="center"/>
    </xf>
    <xf numFmtId="9" fontId="259" fillId="0" borderId="37" xfId="1417" applyFont="1" applyFill="1" applyBorder="1" applyAlignment="1">
      <alignment horizontal="center" vertical="center"/>
    </xf>
    <xf numFmtId="255" fontId="259" fillId="0" borderId="37" xfId="0" applyNumberFormat="1" applyFont="1" applyFill="1" applyBorder="1">
      <alignment vertical="center"/>
    </xf>
    <xf numFmtId="182" fontId="260" fillId="0" borderId="37" xfId="1417" applyNumberFormat="1" applyFont="1" applyFill="1" applyBorder="1" applyAlignment="1">
      <alignment horizontal="center" vertical="center"/>
    </xf>
    <xf numFmtId="255" fontId="259" fillId="0" borderId="26" xfId="0" applyNumberFormat="1" applyFont="1" applyFill="1" applyBorder="1" applyAlignment="1">
      <alignment horizontal="right" vertical="center"/>
    </xf>
    <xf numFmtId="9" fontId="259" fillId="0" borderId="21" xfId="1417" applyFont="1" applyFill="1" applyBorder="1" applyAlignment="1">
      <alignment horizontal="center" vertical="center"/>
    </xf>
    <xf numFmtId="255" fontId="259" fillId="0" borderId="21" xfId="0" applyNumberFormat="1" applyFont="1" applyFill="1" applyBorder="1">
      <alignment vertical="center"/>
    </xf>
    <xf numFmtId="182" fontId="260" fillId="0" borderId="21" xfId="1417" applyNumberFormat="1" applyFont="1" applyFill="1" applyBorder="1" applyAlignment="1">
      <alignment horizontal="center" vertical="center"/>
    </xf>
    <xf numFmtId="255" fontId="260" fillId="0" borderId="27" xfId="0" applyNumberFormat="1" applyFont="1" applyFill="1" applyBorder="1" applyAlignment="1">
      <alignment horizontal="right" vertical="center"/>
    </xf>
    <xf numFmtId="9" fontId="260" fillId="0" borderId="23" xfId="1417" applyFont="1" applyFill="1" applyBorder="1" applyAlignment="1">
      <alignment horizontal="center" vertical="center"/>
    </xf>
    <xf numFmtId="255" fontId="259" fillId="0" borderId="23" xfId="0" applyNumberFormat="1" applyFont="1" applyFill="1" applyBorder="1">
      <alignment vertical="center"/>
    </xf>
    <xf numFmtId="182" fontId="260" fillId="0" borderId="23" xfId="1417" applyNumberFormat="1" applyFont="1" applyFill="1" applyBorder="1" applyAlignment="1">
      <alignment horizontal="center" vertical="center"/>
    </xf>
    <xf numFmtId="38" fontId="252" fillId="0" borderId="89" xfId="0" applyNumberFormat="1" applyFont="1" applyFill="1" applyBorder="1" applyAlignment="1"/>
    <xf numFmtId="38" fontId="252" fillId="0" borderId="18" xfId="0" applyNumberFormat="1" applyFont="1" applyFill="1" applyBorder="1" applyAlignment="1"/>
    <xf numFmtId="38" fontId="252" fillId="0" borderId="87" xfId="1417" applyNumberFormat="1" applyFont="1" applyFill="1" applyBorder="1"/>
    <xf numFmtId="182" fontId="252" fillId="0" borderId="25" xfId="1417" applyNumberFormat="1" applyFont="1" applyFill="1" applyBorder="1"/>
    <xf numFmtId="182" fontId="252" fillId="0" borderId="18" xfId="1417" applyNumberFormat="1" applyFont="1" applyFill="1" applyBorder="1"/>
    <xf numFmtId="38" fontId="252" fillId="0" borderId="26" xfId="0" applyNumberFormat="1" applyFont="1" applyFill="1" applyBorder="1" applyAlignment="1"/>
    <xf numFmtId="38" fontId="252" fillId="0" borderId="21" xfId="0" applyNumberFormat="1" applyFont="1" applyFill="1" applyBorder="1" applyAlignment="1"/>
    <xf numFmtId="38" fontId="252" fillId="0" borderId="21" xfId="1417" applyNumberFormat="1" applyFont="1" applyFill="1" applyBorder="1"/>
    <xf numFmtId="10" fontId="252" fillId="0" borderId="90" xfId="0" applyNumberFormat="1" applyFont="1" applyFill="1" applyBorder="1" applyAlignment="1"/>
    <xf numFmtId="10" fontId="252" fillId="0" borderId="91" xfId="0" applyNumberFormat="1" applyFont="1" applyFill="1" applyBorder="1" applyAlignment="1"/>
    <xf numFmtId="38" fontId="252" fillId="0" borderId="92" xfId="0" applyNumberFormat="1" applyFont="1" applyFill="1" applyBorder="1" applyAlignment="1"/>
    <xf numFmtId="38" fontId="252" fillId="0" borderId="87" xfId="0" applyNumberFormat="1" applyFont="1" applyFill="1" applyBorder="1" applyAlignment="1"/>
    <xf numFmtId="182" fontId="252" fillId="0" borderId="26" xfId="1417" applyNumberFormat="1" applyFont="1" applyFill="1" applyBorder="1"/>
    <xf numFmtId="182" fontId="252" fillId="0" borderId="21" xfId="1417" applyNumberFormat="1" applyFont="1" applyFill="1" applyBorder="1"/>
    <xf numFmtId="38" fontId="262" fillId="0" borderId="92" xfId="0" applyNumberFormat="1" applyFont="1" applyFill="1" applyBorder="1" applyAlignment="1"/>
    <xf numFmtId="38" fontId="262" fillId="0" borderId="87" xfId="0" applyNumberFormat="1" applyFont="1" applyFill="1" applyBorder="1" applyAlignment="1"/>
    <xf numFmtId="38" fontId="262" fillId="0" borderId="26" xfId="0" applyNumberFormat="1" applyFont="1" applyFill="1" applyBorder="1" applyAlignment="1"/>
    <xf numFmtId="38" fontId="262" fillId="0" borderId="21" xfId="0" applyNumberFormat="1" applyFont="1" applyFill="1" applyBorder="1" applyAlignment="1"/>
    <xf numFmtId="10" fontId="262" fillId="0" borderId="32" xfId="0" applyNumberFormat="1" applyFont="1" applyFill="1" applyBorder="1" applyAlignment="1"/>
    <xf numFmtId="10" fontId="262" fillId="0" borderId="30" xfId="0" applyNumberFormat="1" applyFont="1" applyFill="1" applyBorder="1" applyAlignment="1"/>
    <xf numFmtId="38" fontId="255" fillId="0" borderId="0" xfId="1628" applyNumberFormat="1" applyFont="1" applyFill="1" applyBorder="1" applyAlignment="1">
      <alignment vertical="center"/>
    </xf>
    <xf numFmtId="38" fontId="252" fillId="0" borderId="21" xfId="0" applyNumberFormat="1" applyFont="1" applyFill="1" applyBorder="1" applyAlignment="1">
      <alignment vertical="center"/>
    </xf>
    <xf numFmtId="38" fontId="252" fillId="0" borderId="13" xfId="0" applyNumberFormat="1" applyFont="1" applyFill="1" applyBorder="1" applyAlignment="1">
      <alignment vertical="center"/>
    </xf>
    <xf numFmtId="41" fontId="14" fillId="0" borderId="21" xfId="1540" applyFont="1" applyFill="1" applyBorder="1" applyAlignment="1">
      <alignment vertical="center"/>
    </xf>
    <xf numFmtId="41" fontId="14" fillId="0" borderId="21" xfId="1540" applyNumberFormat="1" applyFont="1" applyFill="1" applyBorder="1" applyAlignment="1">
      <alignment vertical="center"/>
    </xf>
    <xf numFmtId="41" fontId="14" fillId="0" borderId="23" xfId="1540" applyNumberFormat="1" applyFont="1" applyFill="1" applyBorder="1" applyAlignment="1">
      <alignment vertical="center"/>
    </xf>
    <xf numFmtId="41" fontId="9" fillId="0" borderId="23" xfId="1540" applyNumberFormat="1" applyFont="1" applyFill="1" applyBorder="1" applyAlignment="1">
      <alignment vertical="center"/>
    </xf>
    <xf numFmtId="9" fontId="255" fillId="0" borderId="0" xfId="1401" applyFont="1" applyFill="1" applyBorder="1" applyAlignment="1">
      <alignment vertical="center"/>
    </xf>
    <xf numFmtId="41" fontId="255" fillId="0" borderId="0" xfId="1540" applyFont="1" applyFill="1" applyBorder="1" applyAlignment="1">
      <alignment vertical="center"/>
    </xf>
    <xf numFmtId="41" fontId="255" fillId="0" borderId="18" xfId="1540" applyFont="1" applyFill="1" applyBorder="1" applyAlignment="1">
      <alignment vertical="center"/>
    </xf>
    <xf numFmtId="41" fontId="14" fillId="0" borderId="23" xfId="1540" applyFont="1" applyFill="1" applyBorder="1" applyAlignment="1">
      <alignment vertical="center"/>
    </xf>
    <xf numFmtId="41" fontId="9" fillId="0" borderId="23" xfId="1540" applyFont="1" applyFill="1" applyBorder="1" applyAlignment="1">
      <alignment vertical="center"/>
    </xf>
    <xf numFmtId="188" fontId="14" fillId="0" borderId="23" xfId="1540" applyNumberFormat="1" applyFont="1" applyFill="1" applyBorder="1" applyAlignment="1">
      <alignment vertical="center"/>
    </xf>
    <xf numFmtId="38" fontId="14" fillId="0" borderId="21" xfId="0" applyNumberFormat="1" applyFont="1" applyFill="1" applyBorder="1" applyAlignment="1">
      <alignment horizontal="right"/>
    </xf>
    <xf numFmtId="10" fontId="259" fillId="0" borderId="96" xfId="1402" applyNumberFormat="1" applyFont="1" applyFill="1" applyBorder="1" applyAlignment="1">
      <alignment vertical="center"/>
    </xf>
    <xf numFmtId="41" fontId="259" fillId="0" borderId="0" xfId="1543" applyNumberFormat="1" applyFont="1" applyFill="1" applyBorder="1" applyAlignment="1">
      <alignment vertical="center"/>
    </xf>
    <xf numFmtId="41" fontId="259" fillId="0" borderId="130" xfId="1543" applyNumberFormat="1" applyFont="1" applyFill="1" applyBorder="1" applyAlignment="1">
      <alignment vertical="center"/>
    </xf>
    <xf numFmtId="41" fontId="259" fillId="0" borderId="13" xfId="1543" applyNumberFormat="1" applyFont="1" applyFill="1" applyBorder="1" applyAlignment="1">
      <alignment vertical="center"/>
    </xf>
    <xf numFmtId="41" fontId="259" fillId="0" borderId="23" xfId="1543" applyFont="1" applyFill="1" applyBorder="1" applyAlignment="1">
      <alignment vertical="center"/>
    </xf>
    <xf numFmtId="38" fontId="252" fillId="0" borderId="133" xfId="1627" applyNumberFormat="1" applyFont="1" applyFill="1" applyBorder="1" applyAlignment="1">
      <alignment vertical="center"/>
    </xf>
    <xf numFmtId="187" fontId="252" fillId="0" borderId="134" xfId="2117" applyNumberFormat="1" applyFont="1" applyFill="1" applyBorder="1" applyAlignment="1">
      <alignment vertical="center"/>
    </xf>
    <xf numFmtId="38" fontId="262" fillId="0" borderId="133" xfId="1627" applyNumberFormat="1" applyFont="1" applyFill="1" applyBorder="1" applyAlignment="1">
      <alignment vertical="center"/>
    </xf>
    <xf numFmtId="2" fontId="252" fillId="0" borderId="134" xfId="2117" applyNumberFormat="1" applyFont="1" applyFill="1" applyBorder="1" applyAlignment="1">
      <alignment vertical="center"/>
    </xf>
    <xf numFmtId="0" fontId="254" fillId="0" borderId="134" xfId="2117" applyFont="1" applyFill="1" applyBorder="1" applyAlignment="1">
      <alignment vertical="center"/>
    </xf>
    <xf numFmtId="187" fontId="263" fillId="0" borderId="94" xfId="2117" applyNumberFormat="1" applyFont="1" applyFill="1" applyBorder="1" applyAlignment="1">
      <alignment vertical="center"/>
    </xf>
    <xf numFmtId="187" fontId="252" fillId="0" borderId="48" xfId="2117" applyNumberFormat="1" applyFont="1" applyFill="1" applyBorder="1" applyAlignment="1">
      <alignment vertical="center"/>
    </xf>
    <xf numFmtId="41" fontId="9" fillId="0" borderId="23" xfId="1548" applyNumberFormat="1" applyFont="1" applyFill="1" applyBorder="1" applyAlignment="1">
      <alignment horizontal="right" vertical="center"/>
    </xf>
    <xf numFmtId="41" fontId="14" fillId="0" borderId="65" xfId="1540" applyFont="1" applyFill="1" applyBorder="1" applyAlignment="1">
      <alignment vertical="center"/>
    </xf>
    <xf numFmtId="38" fontId="14" fillId="44" borderId="21" xfId="1627" applyNumberFormat="1" applyFont="1" applyFill="1" applyBorder="1" applyAlignment="1">
      <alignment vertical="center"/>
    </xf>
    <xf numFmtId="184" fontId="14" fillId="44" borderId="21" xfId="2117" applyNumberFormat="1" applyFont="1" applyFill="1" applyBorder="1" applyAlignment="1">
      <alignment vertical="center"/>
    </xf>
    <xf numFmtId="38" fontId="9" fillId="44" borderId="21" xfId="1627" applyNumberFormat="1" applyFont="1" applyFill="1" applyBorder="1" applyAlignment="1">
      <alignment vertical="center"/>
    </xf>
    <xf numFmtId="184" fontId="9" fillId="44" borderId="21" xfId="2117" applyNumberFormat="1" applyFont="1" applyFill="1" applyBorder="1" applyAlignment="1">
      <alignment vertical="center"/>
    </xf>
    <xf numFmtId="184" fontId="14" fillId="44" borderId="21" xfId="1627" applyNumberFormat="1" applyFont="1" applyFill="1" applyBorder="1" applyAlignment="1">
      <alignment vertical="center"/>
    </xf>
    <xf numFmtId="182" fontId="14" fillId="44" borderId="21" xfId="2117" applyNumberFormat="1" applyFont="1" applyFill="1" applyBorder="1" applyAlignment="1">
      <alignment vertical="center"/>
    </xf>
    <xf numFmtId="256" fontId="14" fillId="44" borderId="21" xfId="1401" applyNumberFormat="1" applyFont="1" applyFill="1" applyBorder="1" applyAlignment="1">
      <alignment vertical="center"/>
    </xf>
    <xf numFmtId="184" fontId="14" fillId="44" borderId="13" xfId="2117" applyNumberFormat="1" applyFont="1" applyFill="1" applyBorder="1" applyAlignment="1">
      <alignment vertical="center"/>
    </xf>
    <xf numFmtId="184" fontId="79" fillId="44" borderId="13" xfId="2117" applyNumberFormat="1" applyFont="1" applyFill="1" applyBorder="1" applyAlignment="1">
      <alignment vertical="center"/>
    </xf>
    <xf numFmtId="184" fontId="79" fillId="44" borderId="18" xfId="2117" applyNumberFormat="1" applyFont="1" applyFill="1" applyBorder="1" applyAlignment="1">
      <alignment vertical="center"/>
    </xf>
    <xf numFmtId="184" fontId="255" fillId="44" borderId="23" xfId="2117" applyNumberFormat="1" applyFont="1" applyFill="1" applyBorder="1" applyAlignment="1">
      <alignment vertical="center"/>
    </xf>
    <xf numFmtId="184" fontId="14" fillId="44" borderId="23" xfId="2117" applyNumberFormat="1" applyFont="1" applyFill="1" applyBorder="1" applyAlignment="1">
      <alignment vertical="center"/>
    </xf>
    <xf numFmtId="184" fontId="264" fillId="0" borderId="0" xfId="2117" applyNumberFormat="1" applyFont="1" applyBorder="1" applyAlignment="1">
      <alignment vertical="center"/>
    </xf>
    <xf numFmtId="184" fontId="14" fillId="0" borderId="23" xfId="2117" applyNumberFormat="1" applyFont="1" applyFill="1" applyBorder="1" applyAlignment="1">
      <alignment vertical="center"/>
    </xf>
    <xf numFmtId="184" fontId="14" fillId="0" borderId="67" xfId="2117" applyNumberFormat="1" applyFont="1" applyFill="1" applyBorder="1" applyAlignment="1">
      <alignment vertical="center"/>
    </xf>
    <xf numFmtId="184" fontId="14" fillId="0" borderId="68" xfId="2117" applyNumberFormat="1" applyFont="1" applyFill="1" applyBorder="1" applyAlignment="1">
      <alignment vertical="center"/>
    </xf>
    <xf numFmtId="41" fontId="14" fillId="0" borderId="34" xfId="1540" applyFont="1" applyFill="1" applyBorder="1" applyAlignment="1">
      <alignment vertical="center"/>
    </xf>
    <xf numFmtId="41" fontId="14" fillId="0" borderId="35" xfId="1540" applyFont="1" applyFill="1" applyBorder="1" applyAlignment="1">
      <alignment vertical="center"/>
    </xf>
    <xf numFmtId="2" fontId="9" fillId="0" borderId="35" xfId="2117" applyNumberFormat="1" applyFont="1" applyFill="1" applyBorder="1" applyAlignment="1">
      <alignment vertical="center"/>
    </xf>
    <xf numFmtId="41" fontId="14" fillId="0" borderId="35" xfId="1543" applyNumberFormat="1" applyFont="1" applyFill="1" applyBorder="1" applyAlignment="1">
      <alignment vertical="center"/>
    </xf>
    <xf numFmtId="255" fontId="259" fillId="44" borderId="89" xfId="0" applyNumberFormat="1" applyFont="1" applyFill="1" applyBorder="1" applyAlignment="1">
      <alignment horizontal="right" vertical="center"/>
    </xf>
    <xf numFmtId="255" fontId="259" fillId="44" borderId="26" xfId="0" applyNumberFormat="1" applyFont="1" applyFill="1" applyBorder="1" applyAlignment="1">
      <alignment horizontal="right" vertical="center"/>
    </xf>
    <xf numFmtId="38" fontId="252" fillId="44" borderId="18" xfId="0" applyNumberFormat="1" applyFont="1" applyFill="1" applyBorder="1" applyAlignment="1"/>
    <xf numFmtId="38" fontId="252" fillId="44" borderId="87" xfId="1417" applyNumberFormat="1" applyFont="1" applyFill="1" applyBorder="1"/>
    <xf numFmtId="38" fontId="31" fillId="44" borderId="0" xfId="0" applyNumberFormat="1" applyFont="1" applyFill="1" applyBorder="1" applyAlignment="1">
      <alignment horizontal="left"/>
    </xf>
    <xf numFmtId="38" fontId="252" fillId="44" borderId="21" xfId="1417" applyNumberFormat="1" applyFont="1" applyFill="1" applyBorder="1"/>
    <xf numFmtId="38" fontId="31" fillId="44" borderId="0" xfId="0" applyNumberFormat="1" applyFont="1" applyFill="1" applyBorder="1" applyAlignment="1"/>
    <xf numFmtId="38" fontId="262" fillId="44" borderId="87" xfId="0" applyNumberFormat="1" applyFont="1" applyFill="1" applyBorder="1" applyAlignment="1"/>
    <xf numFmtId="38" fontId="262" fillId="44" borderId="21" xfId="0" applyNumberFormat="1" applyFont="1" applyFill="1" applyBorder="1" applyAlignment="1"/>
    <xf numFmtId="38" fontId="14" fillId="0" borderId="43" xfId="0" applyNumberFormat="1" applyFont="1" applyFill="1" applyBorder="1" applyAlignment="1"/>
    <xf numFmtId="38" fontId="14" fillId="0" borderId="23" xfId="0" applyNumberFormat="1" applyFont="1" applyFill="1" applyBorder="1" applyAlignment="1"/>
    <xf numFmtId="38" fontId="14" fillId="0" borderId="41" xfId="0" applyNumberFormat="1" applyFont="1" applyFill="1" applyBorder="1" applyAlignment="1"/>
    <xf numFmtId="38" fontId="14" fillId="0" borderId="42" xfId="0" applyNumberFormat="1" applyFont="1" applyFill="1" applyBorder="1" applyAlignment="1"/>
    <xf numFmtId="41" fontId="14" fillId="0" borderId="21" xfId="0" applyNumberFormat="1" applyFont="1" applyFill="1" applyBorder="1" applyAlignment="1"/>
    <xf numFmtId="41" fontId="14" fillId="0" borderId="21" xfId="1540" applyFont="1" applyFill="1" applyBorder="1" applyAlignment="1">
      <alignment horizontal="right"/>
    </xf>
    <xf numFmtId="41" fontId="14" fillId="0" borderId="13" xfId="1540" applyFont="1" applyFill="1" applyBorder="1" applyAlignment="1">
      <alignment horizontal="right"/>
    </xf>
    <xf numFmtId="38" fontId="14" fillId="0" borderId="13" xfId="0" applyNumberFormat="1" applyFont="1" applyFill="1" applyBorder="1" applyAlignment="1">
      <alignment horizontal="right"/>
    </xf>
    <xf numFmtId="41" fontId="31" fillId="0" borderId="21" xfId="1540" applyNumberFormat="1" applyFont="1" applyFill="1" applyBorder="1" applyAlignment="1">
      <alignment vertical="center"/>
    </xf>
    <xf numFmtId="41" fontId="35" fillId="0" borderId="21" xfId="1401" applyNumberFormat="1" applyFont="1" applyFill="1" applyBorder="1" applyAlignment="1">
      <alignment vertical="center"/>
    </xf>
    <xf numFmtId="41" fontId="31" fillId="0" borderId="21" xfId="1540" applyNumberFormat="1" applyFont="1" applyFill="1" applyBorder="1" applyAlignment="1">
      <alignment horizontal="right" vertical="center"/>
    </xf>
    <xf numFmtId="41" fontId="257" fillId="0" borderId="21" xfId="1540" applyNumberFormat="1" applyFont="1" applyFill="1" applyBorder="1" applyAlignment="1">
      <alignment vertical="center"/>
    </xf>
    <xf numFmtId="41" fontId="35" fillId="0" borderId="21" xfId="1540" applyNumberFormat="1" applyFont="1" applyFill="1" applyBorder="1" applyAlignment="1">
      <alignment horizontal="right" vertical="center"/>
    </xf>
    <xf numFmtId="190" fontId="259" fillId="0" borderId="25" xfId="1626" applyNumberFormat="1" applyFont="1" applyFill="1" applyBorder="1" applyAlignment="1">
      <alignment horizontal="right" vertical="center"/>
    </xf>
    <xf numFmtId="190" fontId="259" fillId="0" borderId="18" xfId="1626" applyNumberFormat="1" applyFont="1" applyFill="1" applyBorder="1" applyAlignment="1">
      <alignment horizontal="right" vertical="center"/>
    </xf>
    <xf numFmtId="190" fontId="259" fillId="0" borderId="26" xfId="1626" applyNumberFormat="1" applyFont="1" applyFill="1" applyBorder="1" applyAlignment="1">
      <alignment horizontal="right" vertical="center"/>
    </xf>
    <xf numFmtId="190" fontId="259" fillId="0" borderId="21" xfId="1626" applyNumberFormat="1" applyFont="1" applyFill="1" applyBorder="1" applyAlignment="1">
      <alignment horizontal="right" vertical="center"/>
    </xf>
    <xf numFmtId="190" fontId="259" fillId="0" borderId="27" xfId="1626" applyNumberFormat="1" applyFont="1" applyFill="1" applyBorder="1" applyAlignment="1">
      <alignment horizontal="right" vertical="center"/>
    </xf>
    <xf numFmtId="190" fontId="259" fillId="0" borderId="23" xfId="1626" applyNumberFormat="1" applyFont="1" applyFill="1" applyBorder="1" applyAlignment="1">
      <alignment horizontal="right" vertical="center"/>
    </xf>
    <xf numFmtId="190" fontId="259" fillId="0" borderId="25" xfId="2117" applyNumberFormat="1" applyFont="1" applyFill="1" applyBorder="1" applyAlignment="1">
      <alignment horizontal="right" vertical="center"/>
    </xf>
    <xf numFmtId="190" fontId="259" fillId="0" borderId="18" xfId="2117" applyNumberFormat="1" applyFont="1" applyFill="1" applyBorder="1" applyAlignment="1">
      <alignment horizontal="right" vertical="center"/>
    </xf>
    <xf numFmtId="190" fontId="259" fillId="0" borderId="26" xfId="2117" applyNumberFormat="1" applyFont="1" applyFill="1" applyBorder="1" applyAlignment="1">
      <alignment horizontal="right" vertical="center"/>
    </xf>
    <xf numFmtId="190" fontId="259" fillId="0" borderId="21" xfId="2117" applyNumberFormat="1" applyFont="1" applyFill="1" applyBorder="1" applyAlignment="1">
      <alignment horizontal="right" vertical="center"/>
    </xf>
    <xf numFmtId="190" fontId="259" fillId="0" borderId="26" xfId="1540" applyNumberFormat="1" applyFont="1" applyFill="1" applyBorder="1" applyAlignment="1">
      <alignment horizontal="right" vertical="center"/>
    </xf>
    <xf numFmtId="190" fontId="259" fillId="0" borderId="21" xfId="1540" applyNumberFormat="1" applyFont="1" applyFill="1" applyBorder="1" applyAlignment="1">
      <alignment horizontal="right" vertical="center"/>
    </xf>
    <xf numFmtId="190" fontId="259" fillId="0" borderId="32" xfId="1540" applyNumberFormat="1" applyFont="1" applyFill="1" applyBorder="1" applyAlignment="1">
      <alignment horizontal="right" vertical="center"/>
    </xf>
    <xf numFmtId="190" fontId="259" fillId="0" borderId="30" xfId="1540" applyNumberFormat="1" applyFont="1" applyFill="1" applyBorder="1" applyAlignment="1">
      <alignment horizontal="right" vertical="center"/>
    </xf>
    <xf numFmtId="196" fontId="14" fillId="0" borderId="21" xfId="1548" applyNumberFormat="1" applyFont="1" applyFill="1" applyBorder="1" applyAlignment="1">
      <alignment vertical="center"/>
    </xf>
    <xf numFmtId="9" fontId="35" fillId="0" borderId="21" xfId="1401" applyFont="1" applyFill="1" applyBorder="1" applyAlignment="1">
      <alignment vertical="center"/>
    </xf>
    <xf numFmtId="181" fontId="35" fillId="0" borderId="21" xfId="1401" applyNumberFormat="1" applyFont="1" applyFill="1" applyBorder="1" applyAlignment="1">
      <alignment vertical="center"/>
    </xf>
    <xf numFmtId="10" fontId="259" fillId="44" borderId="96" xfId="1402" applyNumberFormat="1" applyFont="1" applyFill="1" applyBorder="1" applyAlignment="1">
      <alignment vertical="center"/>
    </xf>
    <xf numFmtId="41" fontId="259" fillId="44" borderId="0" xfId="1543" applyNumberFormat="1" applyFont="1" applyFill="1" applyBorder="1" applyAlignment="1">
      <alignment vertical="center"/>
    </xf>
    <xf numFmtId="41" fontId="259" fillId="44" borderId="130" xfId="1543" applyNumberFormat="1" applyFont="1" applyFill="1" applyBorder="1" applyAlignment="1">
      <alignment vertical="center"/>
    </xf>
    <xf numFmtId="41" fontId="259" fillId="44" borderId="13" xfId="1543" applyNumberFormat="1" applyFont="1" applyFill="1" applyBorder="1" applyAlignment="1">
      <alignment vertical="center"/>
    </xf>
    <xf numFmtId="41" fontId="259" fillId="44" borderId="23" xfId="1543" applyFont="1" applyFill="1" applyBorder="1" applyAlignment="1">
      <alignment vertical="center"/>
    </xf>
    <xf numFmtId="255" fontId="265" fillId="44" borderId="140" xfId="0" applyNumberFormat="1" applyFont="1" applyFill="1" applyBorder="1">
      <alignment vertical="center"/>
    </xf>
    <xf numFmtId="255" fontId="259" fillId="44" borderId="141" xfId="1626" applyNumberFormat="1" applyFont="1" applyFill="1" applyBorder="1" applyAlignment="1">
      <alignment horizontal="right" vertical="center"/>
    </xf>
    <xf numFmtId="255" fontId="265" fillId="44" borderId="26" xfId="0" applyNumberFormat="1" applyFont="1" applyFill="1" applyBorder="1">
      <alignment vertical="center"/>
    </xf>
    <xf numFmtId="255" fontId="259" fillId="44" borderId="21" xfId="1626" applyNumberFormat="1" applyFont="1" applyFill="1" applyBorder="1" applyAlignment="1">
      <alignment horizontal="right" vertical="center"/>
    </xf>
    <xf numFmtId="255" fontId="265" fillId="44" borderId="142" xfId="0" applyNumberFormat="1" applyFont="1" applyFill="1" applyBorder="1">
      <alignment vertical="center"/>
    </xf>
    <xf numFmtId="255" fontId="259" fillId="44" borderId="143" xfId="1626" applyNumberFormat="1" applyFont="1" applyFill="1" applyBorder="1" applyAlignment="1">
      <alignment horizontal="right" vertical="center"/>
    </xf>
    <xf numFmtId="190" fontId="259" fillId="44" borderId="25" xfId="2117" applyNumberFormat="1" applyFont="1" applyFill="1" applyBorder="1" applyAlignment="1">
      <alignment horizontal="right" vertical="center"/>
    </xf>
    <xf numFmtId="190" fontId="259" fillId="44" borderId="18" xfId="2117" applyNumberFormat="1" applyFont="1" applyFill="1" applyBorder="1" applyAlignment="1">
      <alignment horizontal="right" vertical="center"/>
    </xf>
    <xf numFmtId="190" fontId="259" fillId="44" borderId="26" xfId="2117" applyNumberFormat="1" applyFont="1" applyFill="1" applyBorder="1" applyAlignment="1">
      <alignment horizontal="right" vertical="center"/>
    </xf>
    <xf numFmtId="190" fontId="259" fillId="44" borderId="21" xfId="2117" applyNumberFormat="1" applyFont="1" applyFill="1" applyBorder="1" applyAlignment="1">
      <alignment horizontal="right" vertical="center"/>
    </xf>
    <xf numFmtId="255" fontId="259" fillId="44" borderId="26" xfId="1540" applyNumberFormat="1" applyFont="1" applyFill="1" applyBorder="1" applyAlignment="1">
      <alignment horizontal="right" vertical="center"/>
    </xf>
    <xf numFmtId="255" fontId="259" fillId="44" borderId="21" xfId="1540" applyNumberFormat="1" applyFont="1" applyFill="1" applyBorder="1" applyAlignment="1">
      <alignment horizontal="right" vertical="center"/>
    </xf>
    <xf numFmtId="255" fontId="259" fillId="44" borderId="144" xfId="1540" applyNumberFormat="1" applyFont="1" applyFill="1" applyBorder="1" applyAlignment="1">
      <alignment horizontal="right" vertical="center"/>
    </xf>
    <xf numFmtId="255" fontId="259" fillId="44" borderId="130" xfId="1540" applyNumberFormat="1" applyFont="1" applyFill="1" applyBorder="1" applyAlignment="1">
      <alignment horizontal="right" vertical="center"/>
    </xf>
    <xf numFmtId="38" fontId="252" fillId="44" borderId="21" xfId="1627" applyNumberFormat="1" applyFont="1" applyFill="1" applyBorder="1" applyAlignment="1">
      <alignment vertical="center"/>
    </xf>
    <xf numFmtId="187" fontId="252" fillId="44" borderId="21" xfId="2117" applyNumberFormat="1" applyFont="1" applyFill="1" applyBorder="1" applyAlignment="1">
      <alignment vertical="center"/>
    </xf>
    <xf numFmtId="38" fontId="262" fillId="44" borderId="21" xfId="1627" applyNumberFormat="1" applyFont="1" applyFill="1" applyBorder="1" applyAlignment="1">
      <alignment vertical="center"/>
    </xf>
    <xf numFmtId="2" fontId="252" fillId="44" borderId="21" xfId="2117" applyNumberFormat="1" applyFont="1" applyFill="1" applyBorder="1" applyAlignment="1">
      <alignment vertical="center"/>
    </xf>
    <xf numFmtId="0" fontId="254" fillId="44" borderId="21" xfId="2117" applyFont="1" applyFill="1" applyBorder="1" applyAlignment="1">
      <alignment vertical="center"/>
    </xf>
    <xf numFmtId="38" fontId="255" fillId="44" borderId="23" xfId="2117" applyNumberFormat="1" applyFont="1" applyFill="1" applyBorder="1" applyAlignment="1">
      <alignment vertical="center"/>
    </xf>
    <xf numFmtId="187" fontId="252" fillId="44" borderId="23" xfId="2117" applyNumberFormat="1" applyFont="1" applyFill="1" applyBorder="1" applyAlignment="1">
      <alignment vertical="center"/>
    </xf>
    <xf numFmtId="196" fontId="9" fillId="0" borderId="146" xfId="0" applyNumberFormat="1" applyFont="1" applyFill="1" applyBorder="1" applyAlignment="1">
      <alignment horizontal="center" vertical="center"/>
    </xf>
    <xf numFmtId="196" fontId="9" fillId="0" borderId="147" xfId="0" applyNumberFormat="1" applyFont="1" applyFill="1" applyBorder="1" applyAlignment="1">
      <alignment horizontal="center" vertical="center"/>
    </xf>
    <xf numFmtId="196" fontId="9" fillId="44" borderId="148" xfId="0" applyNumberFormat="1" applyFont="1" applyFill="1" applyBorder="1" applyAlignment="1">
      <alignment horizontal="center" vertical="center"/>
    </xf>
    <xf numFmtId="196" fontId="14" fillId="0" borderId="146" xfId="66" applyNumberFormat="1" applyFont="1" applyFill="1" applyBorder="1" applyAlignment="1">
      <alignment horizontal="center" vertical="center"/>
    </xf>
    <xf numFmtId="196" fontId="14" fillId="0" borderId="147" xfId="0" applyNumberFormat="1" applyFont="1" applyFill="1" applyBorder="1" applyAlignment="1">
      <alignment horizontal="center" vertical="center"/>
    </xf>
    <xf numFmtId="196" fontId="14" fillId="44" borderId="148" xfId="0" applyNumberFormat="1" applyFont="1" applyFill="1" applyBorder="1" applyAlignment="1">
      <alignment horizontal="center" vertical="center"/>
    </xf>
    <xf numFmtId="196" fontId="14" fillId="0" borderId="146" xfId="0" applyNumberFormat="1" applyFont="1" applyFill="1" applyBorder="1" applyAlignment="1">
      <alignment horizontal="center" vertical="center"/>
    </xf>
    <xf numFmtId="196" fontId="214" fillId="0" borderId="146" xfId="0" applyNumberFormat="1" applyFont="1" applyFill="1" applyBorder="1" applyAlignment="1">
      <alignment horizontal="center" vertical="center"/>
    </xf>
    <xf numFmtId="196" fontId="214" fillId="0" borderId="147" xfId="0" applyNumberFormat="1" applyFont="1" applyFill="1" applyBorder="1" applyAlignment="1">
      <alignment horizontal="center" vertical="center"/>
    </xf>
    <xf numFmtId="196" fontId="9" fillId="0" borderId="149" xfId="0" applyNumberFormat="1" applyFont="1" applyFill="1" applyBorder="1" applyAlignment="1">
      <alignment horizontal="center" vertical="center"/>
    </xf>
    <xf numFmtId="196" fontId="9" fillId="0" borderId="150" xfId="0" applyNumberFormat="1" applyFont="1" applyFill="1" applyBorder="1" applyAlignment="1">
      <alignment horizontal="center" vertical="center"/>
    </xf>
    <xf numFmtId="196" fontId="9" fillId="44" borderId="151" xfId="0" applyNumberFormat="1" applyFont="1" applyFill="1" applyBorder="1" applyAlignment="1">
      <alignment horizontal="center" vertical="center"/>
    </xf>
    <xf numFmtId="255" fontId="9" fillId="44" borderId="57" xfId="1628" applyNumberFormat="1" applyFont="1" applyFill="1" applyBorder="1" applyAlignment="1">
      <alignment vertical="center"/>
    </xf>
    <xf numFmtId="257" fontId="9" fillId="0" borderId="44" xfId="1628" applyNumberFormat="1" applyFont="1" applyFill="1" applyBorder="1" applyAlignment="1">
      <alignment vertical="center"/>
    </xf>
    <xf numFmtId="257" fontId="9" fillId="44" borderId="44" xfId="1628" applyNumberFormat="1" applyFont="1" applyFill="1" applyBorder="1" applyAlignment="1">
      <alignment vertical="center"/>
    </xf>
    <xf numFmtId="257" fontId="9" fillId="44" borderId="21" xfId="1628" applyNumberFormat="1" applyFont="1" applyFill="1" applyBorder="1" applyAlignment="1">
      <alignment vertical="center"/>
    </xf>
    <xf numFmtId="257" fontId="9" fillId="0" borderId="94" xfId="1628" applyNumberFormat="1" applyFont="1" applyFill="1" applyBorder="1" applyAlignment="1">
      <alignment vertical="center"/>
    </xf>
    <xf numFmtId="257" fontId="9" fillId="44" borderId="94" xfId="1628" applyNumberFormat="1" applyFont="1" applyFill="1" applyBorder="1" applyAlignment="1">
      <alignment vertical="center"/>
    </xf>
    <xf numFmtId="257" fontId="9" fillId="44" borderId="13" xfId="1628" applyNumberFormat="1" applyFont="1" applyFill="1" applyBorder="1" applyAlignment="1">
      <alignment vertical="center"/>
    </xf>
    <xf numFmtId="257" fontId="9" fillId="0" borderId="95" xfId="1628" applyNumberFormat="1" applyFont="1" applyFill="1" applyBorder="1" applyAlignment="1">
      <alignment vertical="center"/>
    </xf>
    <xf numFmtId="257" fontId="9" fillId="44" borderId="95" xfId="1628" applyNumberFormat="1" applyFont="1" applyFill="1" applyBorder="1" applyAlignment="1">
      <alignment vertical="center"/>
    </xf>
    <xf numFmtId="257" fontId="9" fillId="44" borderId="57" xfId="1628" applyNumberFormat="1" applyFont="1" applyFill="1" applyBorder="1" applyAlignment="1">
      <alignment vertical="center"/>
    </xf>
    <xf numFmtId="38" fontId="29" fillId="10" borderId="0" xfId="0" applyNumberFormat="1" applyFont="1" applyFill="1" applyBorder="1" applyAlignment="1">
      <alignment horizontal="center" vertical="center"/>
    </xf>
    <xf numFmtId="0" fontId="196" fillId="0" borderId="16" xfId="2118" applyNumberFormat="1" applyFont="1" applyFill="1" applyBorder="1" applyAlignment="1" applyProtection="1">
      <alignment horizontal="left" vertical="center"/>
    </xf>
    <xf numFmtId="38" fontId="198" fillId="0" borderId="0" xfId="0" applyNumberFormat="1" applyFont="1" applyBorder="1" applyAlignment="1">
      <alignment horizontal="left" vertical="center"/>
    </xf>
    <xf numFmtId="38" fontId="21" fillId="10" borderId="0" xfId="0" applyNumberFormat="1" applyFont="1" applyFill="1" applyBorder="1" applyAlignment="1">
      <alignment horizontal="center" vertical="center"/>
    </xf>
    <xf numFmtId="38" fontId="36" fillId="12" borderId="21" xfId="0" applyNumberFormat="1" applyFont="1" applyFill="1" applyBorder="1" applyAlignment="1">
      <alignment vertical="center"/>
    </xf>
    <xf numFmtId="0" fontId="196" fillId="0" borderId="22" xfId="2118" applyNumberFormat="1" applyFont="1" applyFill="1" applyBorder="1" applyAlignment="1" applyProtection="1">
      <alignment horizontal="left" vertical="center"/>
    </xf>
    <xf numFmtId="0" fontId="29" fillId="10" borderId="0" xfId="2117" applyFont="1" applyFill="1" applyBorder="1" applyAlignment="1">
      <alignment horizontal="center" vertical="center"/>
    </xf>
    <xf numFmtId="10" fontId="259" fillId="46" borderId="96" xfId="1402" applyNumberFormat="1" applyFont="1" applyFill="1" applyBorder="1" applyAlignment="1">
      <alignment vertical="center"/>
    </xf>
    <xf numFmtId="41" fontId="259" fillId="46" borderId="0" xfId="1543" applyNumberFormat="1" applyFont="1" applyFill="1" applyBorder="1" applyAlignment="1">
      <alignment vertical="center"/>
    </xf>
    <xf numFmtId="41" fontId="259" fillId="46" borderId="130" xfId="1543" applyNumberFormat="1" applyFont="1" applyFill="1" applyBorder="1" applyAlignment="1">
      <alignment vertical="center"/>
    </xf>
    <xf numFmtId="41" fontId="259" fillId="46" borderId="13" xfId="1543" applyNumberFormat="1" applyFont="1" applyFill="1" applyBorder="1" applyAlignment="1">
      <alignment vertical="center"/>
    </xf>
    <xf numFmtId="41" fontId="259" fillId="46" borderId="23" xfId="1543" applyFont="1" applyFill="1" applyBorder="1" applyAlignment="1">
      <alignment vertical="center"/>
    </xf>
    <xf numFmtId="255" fontId="265" fillId="46" borderId="140" xfId="0" applyNumberFormat="1" applyFont="1" applyFill="1" applyBorder="1">
      <alignment vertical="center"/>
    </xf>
    <xf numFmtId="255" fontId="259" fillId="46" borderId="141" xfId="1626" applyNumberFormat="1" applyFont="1" applyFill="1" applyBorder="1" applyAlignment="1">
      <alignment horizontal="right" vertical="center"/>
    </xf>
    <xf numFmtId="191" fontId="260" fillId="46" borderId="24" xfId="1626" applyNumberFormat="1" applyFont="1" applyFill="1" applyBorder="1" applyAlignment="1">
      <alignment horizontal="right" vertical="center"/>
    </xf>
    <xf numFmtId="255" fontId="265" fillId="46" borderId="26" xfId="0" applyNumberFormat="1" applyFont="1" applyFill="1" applyBorder="1">
      <alignment vertical="center"/>
    </xf>
    <xf numFmtId="255" fontId="259" fillId="46" borderId="21" xfId="1626" applyNumberFormat="1" applyFont="1" applyFill="1" applyBorder="1" applyAlignment="1">
      <alignment horizontal="right" vertical="center"/>
    </xf>
    <xf numFmtId="255" fontId="265" fillId="46" borderId="142" xfId="0" applyNumberFormat="1" applyFont="1" applyFill="1" applyBorder="1">
      <alignment vertical="center"/>
    </xf>
    <xf numFmtId="255" fontId="259" fillId="46" borderId="143" xfId="1626" applyNumberFormat="1" applyFont="1" applyFill="1" applyBorder="1" applyAlignment="1">
      <alignment horizontal="right" vertical="center"/>
    </xf>
    <xf numFmtId="190" fontId="259" fillId="46" borderId="25" xfId="2117" applyNumberFormat="1" applyFont="1" applyFill="1" applyBorder="1" applyAlignment="1">
      <alignment horizontal="right" vertical="center"/>
    </xf>
    <xf numFmtId="190" fontId="259" fillId="46" borderId="18" xfId="2117" applyNumberFormat="1" applyFont="1" applyFill="1" applyBorder="1" applyAlignment="1">
      <alignment horizontal="right" vertical="center"/>
    </xf>
    <xf numFmtId="191" fontId="260" fillId="46" borderId="28" xfId="2117" applyNumberFormat="1" applyFont="1" applyFill="1" applyBorder="1" applyAlignment="1">
      <alignment horizontal="right" vertical="center"/>
    </xf>
    <xf numFmtId="190" fontId="259" fillId="46" borderId="26" xfId="2117" applyNumberFormat="1" applyFont="1" applyFill="1" applyBorder="1" applyAlignment="1">
      <alignment horizontal="right" vertical="center"/>
    </xf>
    <xf numFmtId="190" fontId="259" fillId="46" borderId="21" xfId="2117" applyNumberFormat="1" applyFont="1" applyFill="1" applyBorder="1" applyAlignment="1">
      <alignment horizontal="right" vertical="center"/>
    </xf>
    <xf numFmtId="191" fontId="260" fillId="46" borderId="29" xfId="2117" applyNumberFormat="1" applyFont="1" applyFill="1" applyBorder="1" applyAlignment="1">
      <alignment horizontal="right" vertical="center"/>
    </xf>
    <xf numFmtId="255" fontId="259" fillId="46" borderId="26" xfId="1540" applyNumberFormat="1" applyFont="1" applyFill="1" applyBorder="1" applyAlignment="1">
      <alignment horizontal="right" vertical="center"/>
    </xf>
    <xf numFmtId="255" fontId="259" fillId="46" borderId="21" xfId="1540" applyNumberFormat="1" applyFont="1" applyFill="1" applyBorder="1" applyAlignment="1">
      <alignment horizontal="right" vertical="center"/>
    </xf>
    <xf numFmtId="255" fontId="259" fillId="46" borderId="144" xfId="1540" applyNumberFormat="1" applyFont="1" applyFill="1" applyBorder="1" applyAlignment="1">
      <alignment horizontal="right" vertical="center"/>
    </xf>
    <xf numFmtId="255" fontId="259" fillId="46" borderId="130" xfId="1540" applyNumberFormat="1" applyFont="1" applyFill="1" applyBorder="1" applyAlignment="1">
      <alignment horizontal="right" vertical="center"/>
    </xf>
    <xf numFmtId="191" fontId="260" fillId="46" borderId="145" xfId="1626" applyNumberFormat="1" applyFont="1" applyFill="1" applyBorder="1" applyAlignment="1">
      <alignment horizontal="right" vertical="center"/>
    </xf>
    <xf numFmtId="187" fontId="252" fillId="46" borderId="23" xfId="2117" applyNumberFormat="1" applyFont="1" applyFill="1" applyBorder="1" applyAlignment="1">
      <alignment vertical="center"/>
    </xf>
    <xf numFmtId="38" fontId="258" fillId="46" borderId="139" xfId="0" applyNumberFormat="1" applyFont="1" applyFill="1" applyBorder="1" applyAlignment="1">
      <alignment vertical="top"/>
    </xf>
    <xf numFmtId="38" fontId="255" fillId="46" borderId="42" xfId="2117" applyNumberFormat="1" applyFont="1" applyFill="1" applyBorder="1" applyAlignment="1">
      <alignment vertical="center"/>
    </xf>
    <xf numFmtId="255" fontId="259" fillId="46" borderId="89" xfId="0" applyNumberFormat="1" applyFont="1" applyFill="1" applyBorder="1" applyAlignment="1">
      <alignment horizontal="right" vertical="center"/>
    </xf>
    <xf numFmtId="9" fontId="259" fillId="46" borderId="37" xfId="1417" applyFont="1" applyFill="1" applyBorder="1" applyAlignment="1">
      <alignment horizontal="center" vertical="center"/>
    </xf>
    <xf numFmtId="255" fontId="259" fillId="46" borderId="37" xfId="0" applyNumberFormat="1" applyFont="1" applyFill="1" applyBorder="1">
      <alignment vertical="center"/>
    </xf>
    <xf numFmtId="182" fontId="260" fillId="46" borderId="37" xfId="1417" applyNumberFormat="1" applyFont="1" applyFill="1" applyBorder="1" applyAlignment="1">
      <alignment horizontal="center" vertical="center"/>
    </xf>
    <xf numFmtId="255" fontId="259" fillId="46" borderId="26" xfId="0" applyNumberFormat="1" applyFont="1" applyFill="1" applyBorder="1" applyAlignment="1">
      <alignment horizontal="right" vertical="center"/>
    </xf>
    <xf numFmtId="9" fontId="259" fillId="46" borderId="21" xfId="1417" applyFont="1" applyFill="1" applyBorder="1" applyAlignment="1">
      <alignment horizontal="center" vertical="center"/>
    </xf>
    <xf numFmtId="255" fontId="259" fillId="46" borderId="21" xfId="0" applyNumberFormat="1" applyFont="1" applyFill="1" applyBorder="1">
      <alignment vertical="center"/>
    </xf>
    <xf numFmtId="182" fontId="260" fillId="46" borderId="21" xfId="1417" applyNumberFormat="1" applyFont="1" applyFill="1" applyBorder="1" applyAlignment="1">
      <alignment horizontal="center" vertical="center"/>
    </xf>
    <xf numFmtId="255" fontId="260" fillId="46" borderId="27" xfId="0" applyNumberFormat="1" applyFont="1" applyFill="1" applyBorder="1" applyAlignment="1">
      <alignment horizontal="right" vertical="center"/>
    </xf>
    <xf numFmtId="9" fontId="260" fillId="46" borderId="23" xfId="1417" applyFont="1" applyFill="1" applyBorder="1" applyAlignment="1">
      <alignment horizontal="center" vertical="center"/>
    </xf>
    <xf numFmtId="255" fontId="259" fillId="46" borderId="23" xfId="0" applyNumberFormat="1" applyFont="1" applyFill="1" applyBorder="1">
      <alignment vertical="center"/>
    </xf>
    <xf numFmtId="182" fontId="260" fillId="46" borderId="23" xfId="1417" applyNumberFormat="1" applyFont="1" applyFill="1" applyBorder="1" applyAlignment="1">
      <alignment horizontal="center" vertical="center"/>
    </xf>
    <xf numFmtId="38" fontId="252" fillId="46" borderId="89" xfId="0" applyNumberFormat="1" applyFont="1" applyFill="1" applyBorder="1" applyAlignment="1"/>
    <xf numFmtId="38" fontId="252" fillId="46" borderId="18" xfId="0" applyNumberFormat="1" applyFont="1" applyFill="1" applyBorder="1" applyAlignment="1"/>
    <xf numFmtId="38" fontId="252" fillId="46" borderId="87" xfId="1417" applyNumberFormat="1" applyFont="1" applyFill="1" applyBorder="1"/>
    <xf numFmtId="182" fontId="252" fillId="46" borderId="25" xfId="1417" applyNumberFormat="1" applyFont="1" applyFill="1" applyBorder="1"/>
    <xf numFmtId="182" fontId="252" fillId="46" borderId="18" xfId="1417" applyNumberFormat="1" applyFont="1" applyFill="1" applyBorder="1"/>
    <xf numFmtId="38" fontId="252" fillId="46" borderId="26" xfId="0" applyNumberFormat="1" applyFont="1" applyFill="1" applyBorder="1" applyAlignment="1"/>
    <xf numFmtId="38" fontId="252" fillId="46" borderId="21" xfId="0" applyNumberFormat="1" applyFont="1" applyFill="1" applyBorder="1" applyAlignment="1"/>
    <xf numFmtId="38" fontId="252" fillId="46" borderId="21" xfId="1417" applyNumberFormat="1" applyFont="1" applyFill="1" applyBorder="1"/>
    <xf numFmtId="10" fontId="252" fillId="46" borderId="90" xfId="0" applyNumberFormat="1" applyFont="1" applyFill="1" applyBorder="1" applyAlignment="1"/>
    <xf numFmtId="10" fontId="252" fillId="46" borderId="91" xfId="0" applyNumberFormat="1" applyFont="1" applyFill="1" applyBorder="1" applyAlignment="1"/>
    <xf numFmtId="38" fontId="252" fillId="46" borderId="92" xfId="0" applyNumberFormat="1" applyFont="1" applyFill="1" applyBorder="1" applyAlignment="1"/>
    <xf numFmtId="38" fontId="252" fillId="46" borderId="87" xfId="0" applyNumberFormat="1" applyFont="1" applyFill="1" applyBorder="1" applyAlignment="1"/>
    <xf numFmtId="182" fontId="252" fillId="46" borderId="26" xfId="1417" applyNumberFormat="1" applyFont="1" applyFill="1" applyBorder="1"/>
    <xf numFmtId="182" fontId="252" fillId="46" borderId="21" xfId="1417" applyNumberFormat="1" applyFont="1" applyFill="1" applyBorder="1"/>
    <xf numFmtId="38" fontId="262" fillId="46" borderId="92" xfId="0" applyNumberFormat="1" applyFont="1" applyFill="1" applyBorder="1" applyAlignment="1"/>
    <xf numFmtId="38" fontId="262" fillId="46" borderId="87" xfId="0" applyNumberFormat="1" applyFont="1" applyFill="1" applyBorder="1" applyAlignment="1"/>
    <xf numFmtId="38" fontId="262" fillId="46" borderId="26" xfId="0" applyNumberFormat="1" applyFont="1" applyFill="1" applyBorder="1" applyAlignment="1"/>
    <xf numFmtId="38" fontId="262" fillId="46" borderId="21" xfId="0" applyNumberFormat="1" applyFont="1" applyFill="1" applyBorder="1" applyAlignment="1"/>
    <xf numFmtId="10" fontId="262" fillId="46" borderId="32" xfId="0" applyNumberFormat="1" applyFont="1" applyFill="1" applyBorder="1" applyAlignment="1"/>
    <xf numFmtId="10" fontId="262" fillId="46" borderId="30" xfId="0" applyNumberFormat="1" applyFont="1" applyFill="1" applyBorder="1" applyAlignment="1"/>
    <xf numFmtId="255" fontId="9" fillId="46" borderId="57" xfId="1628" applyNumberFormat="1" applyFont="1" applyFill="1" applyBorder="1" applyAlignment="1">
      <alignment vertical="center"/>
    </xf>
    <xf numFmtId="38" fontId="79" fillId="46" borderId="0" xfId="1628" applyNumberFormat="1" applyFont="1" applyFill="1" applyBorder="1" applyAlignment="1">
      <alignment vertical="center"/>
    </xf>
    <xf numFmtId="38" fontId="255" fillId="46" borderId="0" xfId="1628" applyNumberFormat="1" applyFont="1" applyFill="1" applyBorder="1" applyAlignment="1">
      <alignment vertical="center"/>
    </xf>
    <xf numFmtId="257" fontId="9" fillId="46" borderId="44" xfId="1628" applyNumberFormat="1" applyFont="1" applyFill="1" applyBorder="1" applyAlignment="1">
      <alignment vertical="center"/>
    </xf>
    <xf numFmtId="257" fontId="9" fillId="46" borderId="94" xfId="1628" applyNumberFormat="1" applyFont="1" applyFill="1" applyBorder="1" applyAlignment="1">
      <alignment vertical="center"/>
    </xf>
    <xf numFmtId="257" fontId="9" fillId="46" borderId="95" xfId="1628" applyNumberFormat="1" applyFont="1" applyFill="1" applyBorder="1" applyAlignment="1">
      <alignment vertical="center"/>
    </xf>
    <xf numFmtId="38" fontId="21" fillId="10" borderId="0" xfId="0" applyNumberFormat="1" applyFont="1" applyFill="1" applyBorder="1" applyAlignment="1">
      <alignment horizontal="right" vertical="center"/>
    </xf>
    <xf numFmtId="196" fontId="9" fillId="44" borderId="21" xfId="1543" applyNumberFormat="1" applyFont="1" applyFill="1" applyBorder="1" applyAlignment="1">
      <alignment horizontal="right" vertical="center"/>
    </xf>
    <xf numFmtId="177" fontId="11" fillId="0" borderId="0" xfId="1402" applyNumberFormat="1" applyFont="1" applyFill="1" applyBorder="1" applyAlignment="1"/>
    <xf numFmtId="196" fontId="9" fillId="0" borderId="153" xfId="0" applyNumberFormat="1" applyFont="1" applyFill="1" applyBorder="1" applyAlignment="1">
      <alignment horizontal="center" vertical="center"/>
    </xf>
    <xf numFmtId="196" fontId="14" fillId="0" borderId="153" xfId="0" applyNumberFormat="1" applyFont="1" applyFill="1" applyBorder="1" applyAlignment="1">
      <alignment horizontal="center" vertical="center"/>
    </xf>
    <xf numFmtId="196" fontId="14" fillId="0" borderId="154" xfId="0" applyNumberFormat="1" applyFont="1" applyFill="1" applyBorder="1" applyAlignment="1">
      <alignment horizontal="center" vertical="center"/>
    </xf>
    <xf numFmtId="196" fontId="9" fillId="0" borderId="154" xfId="0" applyNumberFormat="1" applyFont="1" applyFill="1" applyBorder="1" applyAlignment="1">
      <alignment horizontal="center" vertical="center"/>
    </xf>
    <xf numFmtId="196" fontId="214" fillId="0" borderId="153" xfId="0" applyNumberFormat="1" applyFont="1" applyFill="1" applyBorder="1" applyAlignment="1">
      <alignment horizontal="center" vertical="center"/>
    </xf>
    <xf numFmtId="196" fontId="9" fillId="0" borderId="155" xfId="0" applyNumberFormat="1" applyFont="1" applyFill="1" applyBorder="1" applyAlignment="1">
      <alignment horizontal="center" vertical="center"/>
    </xf>
    <xf numFmtId="196" fontId="9" fillId="0" borderId="156" xfId="0" applyNumberFormat="1" applyFont="1" applyFill="1" applyBorder="1" applyAlignment="1">
      <alignment horizontal="center" vertical="center"/>
    </xf>
    <xf numFmtId="182" fontId="14" fillId="12" borderId="71" xfId="1402" applyNumberFormat="1" applyFont="1" applyFill="1" applyBorder="1" applyAlignment="1">
      <alignment vertical="center" wrapText="1"/>
    </xf>
    <xf numFmtId="182" fontId="35" fillId="0" borderId="0" xfId="1402" applyNumberFormat="1" applyFont="1" applyFill="1" applyBorder="1" applyAlignment="1"/>
    <xf numFmtId="38" fontId="14" fillId="0" borderId="158" xfId="0" applyNumberFormat="1" applyFont="1" applyBorder="1" applyAlignment="1"/>
    <xf numFmtId="38" fontId="262" fillId="0" borderId="159" xfId="0" applyNumberFormat="1" applyFont="1" applyFill="1" applyBorder="1" applyAlignment="1">
      <alignment vertical="center"/>
    </xf>
    <xf numFmtId="177" fontId="78" fillId="0" borderId="159" xfId="0" applyNumberFormat="1" applyFont="1" applyBorder="1" applyAlignment="1">
      <alignment vertical="center"/>
    </xf>
    <xf numFmtId="182" fontId="262" fillId="12" borderId="157" xfId="1402" applyNumberFormat="1" applyFont="1" applyFill="1" applyBorder="1" applyAlignment="1">
      <alignment vertical="center" wrapText="1"/>
    </xf>
    <xf numFmtId="182" fontId="9" fillId="12" borderId="157" xfId="1402" applyNumberFormat="1" applyFont="1" applyFill="1" applyBorder="1" applyAlignment="1">
      <alignment vertical="center" wrapText="1"/>
    </xf>
    <xf numFmtId="38" fontId="9" fillId="0" borderId="159" xfId="0" applyNumberFormat="1" applyFont="1" applyBorder="1" applyAlignment="1">
      <alignment vertical="center"/>
    </xf>
    <xf numFmtId="38" fontId="9" fillId="0" borderId="158" xfId="0" applyNumberFormat="1" applyFont="1" applyBorder="1" applyAlignment="1">
      <alignment vertical="center"/>
    </xf>
    <xf numFmtId="41" fontId="14" fillId="0" borderId="21" xfId="3258" applyFont="1" applyFill="1" applyBorder="1" applyAlignment="1">
      <alignment vertical="center"/>
    </xf>
    <xf numFmtId="41" fontId="14" fillId="0" borderId="21" xfId="3258" applyNumberFormat="1" applyFont="1" applyFill="1" applyBorder="1" applyAlignment="1">
      <alignment vertical="center"/>
    </xf>
    <xf numFmtId="41" fontId="14" fillId="0" borderId="23" xfId="3258" applyNumberFormat="1" applyFont="1" applyFill="1" applyBorder="1" applyAlignment="1">
      <alignment vertical="center"/>
    </xf>
    <xf numFmtId="41" fontId="9" fillId="0" borderId="23" xfId="3258" applyNumberFormat="1" applyFont="1" applyFill="1" applyBorder="1" applyAlignment="1">
      <alignment vertical="center"/>
    </xf>
    <xf numFmtId="9" fontId="255" fillId="0" borderId="0" xfId="3257" applyFont="1" applyFill="1" applyBorder="1" applyAlignment="1">
      <alignment vertical="center"/>
    </xf>
    <xf numFmtId="41" fontId="255" fillId="0" borderId="0" xfId="3258" applyFont="1" applyFill="1" applyBorder="1" applyAlignment="1">
      <alignment vertical="center"/>
    </xf>
    <xf numFmtId="41" fontId="255" fillId="0" borderId="18" xfId="3258" applyFont="1" applyFill="1" applyBorder="1" applyAlignment="1">
      <alignment vertical="center"/>
    </xf>
    <xf numFmtId="41" fontId="14" fillId="0" borderId="23" xfId="3258" applyFont="1" applyFill="1" applyBorder="1" applyAlignment="1">
      <alignment vertical="center"/>
    </xf>
    <xf numFmtId="41" fontId="9" fillId="0" borderId="23" xfId="3258" applyFont="1" applyFill="1" applyBorder="1" applyAlignment="1">
      <alignment vertical="center"/>
    </xf>
    <xf numFmtId="188" fontId="14" fillId="0" borderId="23" xfId="3258" applyNumberFormat="1" applyFont="1" applyFill="1" applyBorder="1" applyAlignment="1">
      <alignment vertical="center"/>
    </xf>
    <xf numFmtId="38" fontId="6" fillId="90" borderId="0" xfId="0" applyNumberFormat="1" applyFont="1" applyFill="1" applyBorder="1" applyAlignment="1"/>
    <xf numFmtId="196" fontId="9" fillId="44" borderId="172" xfId="0" applyNumberFormat="1" applyFont="1" applyFill="1" applyBorder="1" applyAlignment="1">
      <alignment horizontal="center" vertical="center"/>
    </xf>
    <xf numFmtId="196" fontId="214" fillId="0" borderId="154" xfId="0" applyNumberFormat="1" applyFont="1" applyFill="1" applyBorder="1" applyAlignment="1">
      <alignment horizontal="center" vertical="center"/>
    </xf>
    <xf numFmtId="196" fontId="9" fillId="47" borderId="172" xfId="0" applyNumberFormat="1" applyFont="1" applyFill="1" applyBorder="1" applyAlignment="1">
      <alignment horizontal="center" vertical="center"/>
    </xf>
    <xf numFmtId="196" fontId="9" fillId="44" borderId="171" xfId="0" applyNumberFormat="1" applyFont="1" applyFill="1" applyBorder="1" applyAlignment="1">
      <alignment horizontal="center" vertical="center"/>
    </xf>
    <xf numFmtId="196" fontId="9" fillId="0" borderId="170" xfId="0" applyNumberFormat="1" applyFont="1" applyFill="1" applyBorder="1" applyAlignment="1">
      <alignment horizontal="center" vertical="center"/>
    </xf>
    <xf numFmtId="196" fontId="9" fillId="44" borderId="97" xfId="1543" applyNumberFormat="1" applyFont="1" applyFill="1" applyBorder="1" applyAlignment="1">
      <alignment horizontal="right" vertical="center"/>
    </xf>
    <xf numFmtId="196" fontId="14" fillId="44" borderId="21" xfId="1540" applyNumberFormat="1" applyFont="1" applyFill="1" applyBorder="1" applyAlignment="1">
      <alignment horizontal="right" vertical="center"/>
    </xf>
    <xf numFmtId="196" fontId="9" fillId="44" borderId="21" xfId="1540" applyNumberFormat="1" applyFont="1" applyFill="1" applyBorder="1" applyAlignment="1">
      <alignment horizontal="right" vertical="center"/>
    </xf>
    <xf numFmtId="196" fontId="9" fillId="46" borderId="97" xfId="1543" applyNumberFormat="1" applyFont="1" applyFill="1" applyBorder="1" applyAlignment="1">
      <alignment horizontal="right" vertical="center"/>
    </xf>
    <xf numFmtId="196" fontId="9" fillId="46" borderId="21" xfId="1540" applyNumberFormat="1" applyFont="1" applyFill="1" applyBorder="1" applyAlignment="1">
      <alignment horizontal="right" vertical="center"/>
    </xf>
    <xf numFmtId="196" fontId="14" fillId="46" borderId="21" xfId="1540" applyNumberFormat="1" applyFont="1" applyFill="1" applyBorder="1" applyAlignment="1">
      <alignment horizontal="right" vertical="center"/>
    </xf>
    <xf numFmtId="196" fontId="9" fillId="46" borderId="21" xfId="1543" applyNumberFormat="1" applyFont="1" applyFill="1" applyBorder="1" applyAlignment="1">
      <alignment horizontal="right" vertical="center"/>
    </xf>
    <xf numFmtId="37" fontId="14" fillId="46" borderId="0" xfId="1548" applyNumberFormat="1" applyFont="1" applyFill="1" applyBorder="1" applyAlignment="1">
      <alignment horizontal="right" vertical="center" wrapText="1"/>
    </xf>
    <xf numFmtId="37" fontId="14" fillId="46" borderId="0" xfId="0" applyNumberFormat="1" applyFont="1" applyFill="1" applyBorder="1" applyAlignment="1">
      <alignment vertical="center"/>
    </xf>
    <xf numFmtId="37" fontId="14" fillId="46" borderId="18" xfId="0" applyNumberFormat="1" applyFont="1" applyFill="1" applyBorder="1" applyAlignment="1">
      <alignment vertical="center"/>
    </xf>
    <xf numFmtId="37" fontId="14" fillId="46" borderId="13" xfId="1540" applyNumberFormat="1" applyFont="1" applyFill="1" applyBorder="1" applyAlignment="1">
      <alignment vertical="center"/>
    </xf>
    <xf numFmtId="37" fontId="14" fillId="46" borderId="13" xfId="0" applyNumberFormat="1" applyFont="1" applyFill="1" applyBorder="1" applyAlignment="1">
      <alignment vertical="center"/>
    </xf>
    <xf numFmtId="196" fontId="9" fillId="44" borderId="173" xfId="0" applyNumberFormat="1" applyFont="1" applyFill="1" applyBorder="1" applyAlignment="1">
      <alignment horizontal="center" vertical="center"/>
    </xf>
    <xf numFmtId="38" fontId="9" fillId="46" borderId="21" xfId="0" applyNumberFormat="1" applyFont="1" applyFill="1" applyBorder="1" applyAlignment="1"/>
    <xf numFmtId="191" fontId="260" fillId="44" borderId="24" xfId="1626" applyNumberFormat="1" applyFont="1" applyFill="1" applyBorder="1" applyAlignment="1">
      <alignment horizontal="right" vertical="center"/>
    </xf>
    <xf numFmtId="191" fontId="260" fillId="44" borderId="28" xfId="2117" applyNumberFormat="1" applyFont="1" applyFill="1" applyBorder="1" applyAlignment="1">
      <alignment horizontal="right" vertical="center"/>
    </xf>
    <xf numFmtId="191" fontId="260" fillId="44" borderId="29" xfId="2117" applyNumberFormat="1" applyFont="1" applyFill="1" applyBorder="1" applyAlignment="1">
      <alignment horizontal="right" vertical="center"/>
    </xf>
    <xf numFmtId="191" fontId="260" fillId="44" borderId="145" xfId="1626" applyNumberFormat="1" applyFont="1" applyFill="1" applyBorder="1" applyAlignment="1">
      <alignment horizontal="right" vertical="center"/>
    </xf>
    <xf numFmtId="191" fontId="260" fillId="44" borderId="174" xfId="1626" applyNumberFormat="1" applyFont="1" applyFill="1" applyBorder="1" applyAlignment="1">
      <alignment horizontal="right" vertical="center"/>
    </xf>
    <xf numFmtId="255" fontId="255" fillId="0" borderId="21" xfId="1628" applyNumberFormat="1" applyFont="1" applyFill="1" applyBorder="1" applyAlignment="1">
      <alignment vertical="center"/>
    </xf>
    <xf numFmtId="41" fontId="14" fillId="0" borderId="84" xfId="1540" applyFont="1" applyFill="1" applyBorder="1" applyAlignment="1"/>
    <xf numFmtId="41" fontId="14" fillId="0" borderId="85" xfId="1540" applyFont="1" applyFill="1" applyBorder="1" applyAlignment="1"/>
    <xf numFmtId="41" fontId="14" fillId="0" borderId="86" xfId="1540" applyFont="1" applyFill="1" applyBorder="1" applyAlignment="1"/>
    <xf numFmtId="38" fontId="14" fillId="0" borderId="175" xfId="1628" applyNumberFormat="1" applyFont="1" applyFill="1" applyBorder="1" applyAlignment="1">
      <alignment horizontal="center" vertical="center"/>
    </xf>
    <xf numFmtId="38" fontId="14" fillId="0" borderId="176" xfId="1628" applyNumberFormat="1" applyFont="1" applyFill="1" applyBorder="1" applyAlignment="1">
      <alignment horizontal="center" vertical="center"/>
    </xf>
    <xf numFmtId="38" fontId="14" fillId="0" borderId="177" xfId="1628" applyNumberFormat="1" applyFont="1" applyFill="1" applyBorder="1" applyAlignment="1">
      <alignment horizontal="center" vertical="center"/>
    </xf>
    <xf numFmtId="186" fontId="14" fillId="0" borderId="21" xfId="1540" applyNumberFormat="1" applyFont="1" applyFill="1" applyBorder="1" applyAlignment="1"/>
    <xf numFmtId="38" fontId="11" fillId="46" borderId="0" xfId="0" applyNumberFormat="1" applyFont="1" applyFill="1" applyBorder="1" applyAlignment="1"/>
    <xf numFmtId="0" fontId="311" fillId="46" borderId="0" xfId="0" applyNumberFormat="1" applyFont="1" applyFill="1" applyBorder="1" applyAlignment="1"/>
    <xf numFmtId="196" fontId="9" fillId="46" borderId="0" xfId="0" applyNumberFormat="1" applyFont="1" applyFill="1" applyBorder="1" applyAlignment="1">
      <alignment horizontal="center" vertical="center"/>
    </xf>
    <xf numFmtId="38" fontId="179" fillId="4" borderId="0" xfId="2116" applyFont="1" applyAlignment="1">
      <alignment wrapText="1"/>
    </xf>
    <xf numFmtId="0" fontId="40" fillId="46" borderId="0" xfId="0" applyNumberFormat="1" applyFont="1" applyFill="1" applyBorder="1" applyAlignment="1"/>
    <xf numFmtId="0" fontId="29" fillId="10" borderId="0" xfId="2117" applyFont="1" applyFill="1" applyBorder="1" applyAlignment="1">
      <alignment horizontal="center" vertical="center"/>
    </xf>
    <xf numFmtId="257" fontId="11" fillId="0" borderId="0" xfId="0" applyNumberFormat="1" applyFont="1" applyFill="1" applyBorder="1" applyAlignment="1"/>
    <xf numFmtId="269" fontId="56" fillId="0" borderId="0" xfId="0" applyNumberFormat="1" applyFont="1" applyFill="1" applyBorder="1" applyAlignment="1"/>
    <xf numFmtId="177" fontId="56" fillId="0" borderId="0" xfId="0" applyNumberFormat="1" applyFont="1" applyFill="1" applyBorder="1" applyAlignment="1"/>
    <xf numFmtId="184" fontId="6" fillId="12" borderId="13" xfId="2117" applyNumberFormat="1" applyFont="1" applyFill="1" applyBorder="1" applyAlignment="1">
      <alignment vertical="center"/>
    </xf>
    <xf numFmtId="184" fontId="14" fillId="0" borderId="13" xfId="2117" applyNumberFormat="1" applyFont="1" applyBorder="1" applyAlignment="1">
      <alignment vertical="center"/>
    </xf>
    <xf numFmtId="184" fontId="14" fillId="0" borderId="181" xfId="2117" applyNumberFormat="1" applyFont="1" applyFill="1" applyBorder="1" applyAlignment="1">
      <alignment vertical="center"/>
    </xf>
    <xf numFmtId="184" fontId="14" fillId="0" borderId="182" xfId="2117" applyNumberFormat="1" applyFont="1" applyFill="1" applyBorder="1" applyAlignment="1">
      <alignment vertical="center"/>
    </xf>
    <xf numFmtId="184" fontId="255" fillId="44" borderId="13" xfId="2117" applyNumberFormat="1" applyFont="1" applyFill="1" applyBorder="1" applyAlignment="1">
      <alignment vertical="center"/>
    </xf>
    <xf numFmtId="38" fontId="202" fillId="0" borderId="13" xfId="0" applyNumberFormat="1" applyFont="1" applyFill="1" applyBorder="1" applyAlignment="1">
      <alignment vertical="top"/>
    </xf>
    <xf numFmtId="187" fontId="14" fillId="0" borderId="13" xfId="2117" applyNumberFormat="1" applyFont="1" applyFill="1" applyBorder="1" applyAlignment="1">
      <alignment vertical="center"/>
    </xf>
    <xf numFmtId="187" fontId="14" fillId="0" borderId="94" xfId="2117" applyNumberFormat="1" applyFont="1" applyFill="1" applyBorder="1" applyAlignment="1">
      <alignment vertical="center"/>
    </xf>
    <xf numFmtId="38" fontId="258" fillId="0" borderId="13" xfId="0" applyNumberFormat="1" applyFont="1" applyFill="1" applyBorder="1" applyAlignment="1">
      <alignment vertical="top"/>
    </xf>
    <xf numFmtId="187" fontId="252" fillId="0" borderId="13" xfId="2117" applyNumberFormat="1" applyFont="1" applyFill="1" applyBorder="1" applyAlignment="1">
      <alignment vertical="center"/>
    </xf>
    <xf numFmtId="187" fontId="252" fillId="46" borderId="13" xfId="2117" applyNumberFormat="1" applyFont="1" applyFill="1" applyBorder="1" applyAlignment="1">
      <alignment vertical="center"/>
    </xf>
    <xf numFmtId="38" fontId="258" fillId="44" borderId="13" xfId="0" applyNumberFormat="1" applyFont="1" applyFill="1" applyBorder="1" applyAlignment="1">
      <alignment vertical="top"/>
    </xf>
    <xf numFmtId="187" fontId="252" fillId="44" borderId="13" xfId="2117" applyNumberFormat="1" applyFont="1" applyFill="1" applyBorder="1" applyAlignment="1">
      <alignment vertical="center"/>
    </xf>
    <xf numFmtId="38" fontId="0" fillId="0" borderId="0" xfId="0" applyNumberFormat="1" applyAlignment="1">
      <alignment horizontal="center"/>
    </xf>
    <xf numFmtId="38" fontId="195" fillId="10" borderId="0" xfId="0" applyNumberFormat="1" applyFont="1" applyFill="1" applyBorder="1" applyAlignment="1">
      <alignment horizontal="left" vertical="center"/>
    </xf>
    <xf numFmtId="0" fontId="196" fillId="0" borderId="16" xfId="2118" applyNumberFormat="1" applyFont="1" applyFill="1" applyBorder="1" applyAlignment="1" applyProtection="1">
      <alignment horizontal="left" vertical="center"/>
    </xf>
    <xf numFmtId="38" fontId="198" fillId="0" borderId="0" xfId="0" applyNumberFormat="1" applyFont="1" applyBorder="1" applyAlignment="1">
      <alignment horizontal="left" vertical="center"/>
    </xf>
    <xf numFmtId="177" fontId="32" fillId="0" borderId="18" xfId="0" applyNumberFormat="1" applyFont="1" applyFill="1" applyBorder="1" applyAlignment="1">
      <alignment horizontal="center" vertical="center"/>
    </xf>
    <xf numFmtId="38" fontId="36" fillId="12" borderId="8" xfId="0" applyNumberFormat="1" applyFont="1" applyFill="1" applyBorder="1" applyAlignment="1">
      <alignment horizontal="left" vertical="center" wrapText="1"/>
    </xf>
    <xf numFmtId="38" fontId="36" fillId="12" borderId="52" xfId="0" applyNumberFormat="1" applyFont="1" applyFill="1" applyBorder="1" applyAlignment="1">
      <alignment horizontal="left" vertical="center" wrapText="1"/>
    </xf>
    <xf numFmtId="37" fontId="9" fillId="0" borderId="8" xfId="0" applyNumberFormat="1" applyFont="1" applyFill="1" applyBorder="1" applyAlignment="1">
      <alignment horizontal="right" vertical="center" wrapText="1"/>
    </xf>
    <xf numFmtId="37" fontId="9" fillId="0" borderId="52" xfId="0" applyNumberFormat="1" applyFont="1" applyFill="1" applyBorder="1" applyAlignment="1">
      <alignment horizontal="right" vertical="center" wrapText="1"/>
    </xf>
    <xf numFmtId="38" fontId="32" fillId="0" borderId="18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/>
    </xf>
    <xf numFmtId="38" fontId="5" fillId="0" borderId="52" xfId="0" applyNumberFormat="1" applyFont="1" applyFill="1" applyBorder="1" applyAlignment="1">
      <alignment horizontal="center"/>
    </xf>
    <xf numFmtId="38" fontId="9" fillId="12" borderId="97" xfId="0" applyNumberFormat="1" applyFont="1" applyFill="1" applyBorder="1" applyAlignment="1">
      <alignment vertical="center"/>
    </xf>
    <xf numFmtId="38" fontId="14" fillId="12" borderId="97" xfId="0" applyNumberFormat="1" applyFont="1" applyFill="1" applyBorder="1" applyAlignment="1"/>
    <xf numFmtId="38" fontId="6" fillId="12" borderId="21" xfId="0" applyNumberFormat="1" applyFont="1" applyFill="1" applyBorder="1" applyAlignment="1">
      <alignment horizontal="left" vertical="center" indent="1"/>
    </xf>
    <xf numFmtId="38" fontId="6" fillId="12" borderId="21" xfId="0" applyNumberFormat="1" applyFont="1" applyFill="1" applyBorder="1" applyAlignment="1">
      <alignment horizontal="left" indent="1"/>
    </xf>
    <xf numFmtId="38" fontId="36" fillId="12" borderId="21" xfId="0" applyNumberFormat="1" applyFont="1" applyFill="1" applyBorder="1" applyAlignment="1">
      <alignment horizontal="left" vertical="center" indent="1"/>
    </xf>
    <xf numFmtId="38" fontId="166" fillId="12" borderId="21" xfId="0" applyNumberFormat="1" applyFont="1" applyFill="1" applyBorder="1" applyAlignment="1">
      <alignment horizontal="left" indent="1"/>
    </xf>
    <xf numFmtId="38" fontId="6" fillId="12" borderId="21" xfId="0" applyNumberFormat="1" applyFont="1" applyFill="1" applyBorder="1" applyAlignment="1">
      <alignment horizontal="left" vertical="center"/>
    </xf>
    <xf numFmtId="38" fontId="6" fillId="12" borderId="21" xfId="0" applyNumberFormat="1" applyFont="1" applyFill="1" applyBorder="1" applyAlignment="1">
      <alignment horizontal="left"/>
    </xf>
    <xf numFmtId="38" fontId="36" fillId="12" borderId="21" xfId="0" applyNumberFormat="1" applyFont="1" applyFill="1" applyBorder="1" applyAlignment="1">
      <alignment horizontal="left" vertical="center"/>
    </xf>
    <xf numFmtId="38" fontId="166" fillId="12" borderId="21" xfId="0" applyNumberFormat="1" applyFont="1" applyFill="1" applyBorder="1" applyAlignment="1">
      <alignment horizontal="left"/>
    </xf>
    <xf numFmtId="38" fontId="36" fillId="12" borderId="21" xfId="0" applyNumberFormat="1" applyFont="1" applyFill="1" applyBorder="1" applyAlignment="1">
      <alignment vertical="center"/>
    </xf>
    <xf numFmtId="38" fontId="166" fillId="12" borderId="21" xfId="0" applyNumberFormat="1" applyFont="1" applyFill="1" applyBorder="1" applyAlignment="1"/>
    <xf numFmtId="38" fontId="21" fillId="10" borderId="0" xfId="0" applyNumberFormat="1" applyFont="1" applyFill="1" applyBorder="1" applyAlignment="1">
      <alignment horizontal="center" vertical="center"/>
    </xf>
    <xf numFmtId="38" fontId="44" fillId="10" borderId="152" xfId="0" applyNumberFormat="1" applyFont="1" applyFill="1" applyBorder="1" applyAlignment="1">
      <alignment horizontal="center" vertical="center"/>
    </xf>
    <xf numFmtId="38" fontId="21" fillId="10" borderId="100" xfId="0" applyNumberFormat="1" applyFont="1" applyFill="1" applyBorder="1" applyAlignment="1">
      <alignment horizontal="center" vertical="center"/>
    </xf>
    <xf numFmtId="38" fontId="44" fillId="10" borderId="135" xfId="0" applyNumberFormat="1" applyFont="1" applyFill="1" applyBorder="1" applyAlignment="1">
      <alignment horizontal="center" vertical="center"/>
    </xf>
    <xf numFmtId="38" fontId="21" fillId="10" borderId="136" xfId="0" applyNumberFormat="1" applyFont="1" applyFill="1" applyBorder="1" applyAlignment="1">
      <alignment horizontal="center" vertical="center"/>
    </xf>
    <xf numFmtId="38" fontId="32" fillId="0" borderId="18" xfId="0" applyNumberFormat="1" applyFont="1" applyFill="1" applyBorder="1" applyAlignment="1">
      <alignment horizontal="center" vertical="center" wrapText="1"/>
    </xf>
    <xf numFmtId="38" fontId="32" fillId="0" borderId="0" xfId="0" applyNumberFormat="1" applyFont="1" applyFill="1" applyBorder="1" applyAlignment="1">
      <alignment horizontal="center" vertical="center" wrapText="1"/>
    </xf>
    <xf numFmtId="0" fontId="196" fillId="0" borderId="22" xfId="2118" applyNumberFormat="1" applyFont="1" applyFill="1" applyBorder="1" applyAlignment="1" applyProtection="1">
      <alignment horizontal="left" vertical="center"/>
    </xf>
    <xf numFmtId="38" fontId="45" fillId="10" borderId="101" xfId="0" applyNumberFormat="1" applyFont="1" applyFill="1" applyBorder="1" applyAlignment="1">
      <alignment horizontal="center" vertical="center" wrapText="1"/>
    </xf>
    <xf numFmtId="38" fontId="29" fillId="10" borderId="101" xfId="0" applyNumberFormat="1" applyFont="1" applyFill="1" applyBorder="1" applyAlignment="1">
      <alignment horizontal="center" vertical="center" wrapText="1"/>
    </xf>
    <xf numFmtId="38" fontId="29" fillId="10" borderId="136" xfId="0" applyNumberFormat="1" applyFont="1" applyFill="1" applyBorder="1" applyAlignment="1">
      <alignment horizontal="center" vertical="center" wrapText="1"/>
    </xf>
    <xf numFmtId="38" fontId="29" fillId="10" borderId="137" xfId="0" applyNumberFormat="1" applyFont="1" applyFill="1" applyBorder="1" applyAlignment="1">
      <alignment horizontal="center" vertical="center" wrapText="1"/>
    </xf>
    <xf numFmtId="38" fontId="45" fillId="10" borderId="102" xfId="0" applyNumberFormat="1" applyFont="1" applyFill="1" applyBorder="1" applyAlignment="1">
      <alignment horizontal="center" vertical="center" wrapText="1"/>
    </xf>
    <xf numFmtId="38" fontId="45" fillId="10" borderId="103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29" fillId="10" borderId="99" xfId="0" applyNumberFormat="1" applyFont="1" applyFill="1" applyBorder="1" applyAlignment="1">
      <alignment horizontal="center" vertical="center" wrapText="1"/>
    </xf>
    <xf numFmtId="0" fontId="29" fillId="10" borderId="104" xfId="0" applyNumberFormat="1" applyFont="1" applyFill="1" applyBorder="1" applyAlignment="1">
      <alignment horizontal="center" vertical="center" wrapText="1"/>
    </xf>
    <xf numFmtId="0" fontId="29" fillId="10" borderId="0" xfId="2117" applyFont="1" applyFill="1" applyBorder="1" applyAlignment="1">
      <alignment horizontal="center" vertical="center"/>
    </xf>
    <xf numFmtId="0" fontId="9" fillId="12" borderId="0" xfId="2117" applyFont="1" applyFill="1" applyBorder="1" applyAlignment="1">
      <alignment horizontal="center" vertical="center" wrapText="1"/>
    </xf>
    <xf numFmtId="0" fontId="9" fillId="12" borderId="18" xfId="2117" applyFont="1" applyFill="1" applyBorder="1" applyAlignment="1">
      <alignment horizontal="center" vertical="center" wrapText="1"/>
    </xf>
    <xf numFmtId="0" fontId="22" fillId="4" borderId="0" xfId="2118" applyNumberFormat="1" applyFont="1" applyFill="1" applyBorder="1" applyAlignment="1" applyProtection="1">
      <alignment horizontal="left" vertical="center"/>
    </xf>
    <xf numFmtId="0" fontId="14" fillId="12" borderId="0" xfId="2117" applyFont="1" applyFill="1" applyBorder="1" applyAlignment="1">
      <alignment horizontal="center" vertical="center" wrapText="1"/>
    </xf>
    <xf numFmtId="0" fontId="14" fillId="12" borderId="18" xfId="2117" applyFont="1" applyFill="1" applyBorder="1" applyAlignment="1">
      <alignment horizontal="center" vertical="center" wrapText="1"/>
    </xf>
    <xf numFmtId="38" fontId="29" fillId="10" borderId="0" xfId="0" applyNumberFormat="1" applyFont="1" applyFill="1" applyBorder="1" applyAlignment="1">
      <alignment horizontal="center" vertical="center"/>
    </xf>
    <xf numFmtId="38" fontId="29" fillId="10" borderId="18" xfId="0" applyNumberFormat="1" applyFont="1" applyFill="1" applyBorder="1" applyAlignment="1">
      <alignment horizontal="center" vertical="center"/>
    </xf>
    <xf numFmtId="0" fontId="29" fillId="0" borderId="0" xfId="2117" applyFont="1" applyFill="1" applyBorder="1" applyAlignment="1">
      <alignment horizontal="center" vertical="center" wrapText="1"/>
    </xf>
    <xf numFmtId="38" fontId="66" fillId="12" borderId="105" xfId="0" applyNumberFormat="1" applyFont="1" applyFill="1" applyBorder="1" applyAlignment="1">
      <alignment horizontal="center" vertical="center"/>
    </xf>
    <xf numFmtId="38" fontId="9" fillId="12" borderId="106" xfId="0" applyNumberFormat="1" applyFont="1" applyFill="1" applyBorder="1" applyAlignment="1">
      <alignment horizontal="center" vertical="center"/>
    </xf>
    <xf numFmtId="38" fontId="9" fillId="12" borderId="138" xfId="0" applyNumberFormat="1" applyFont="1" applyFill="1" applyBorder="1" applyAlignment="1">
      <alignment horizontal="center" vertical="center"/>
    </xf>
    <xf numFmtId="38" fontId="9" fillId="12" borderId="105" xfId="0" applyNumberFormat="1" applyFont="1" applyFill="1" applyBorder="1" applyAlignment="1">
      <alignment horizontal="center" vertical="center"/>
    </xf>
    <xf numFmtId="0" fontId="29" fillId="10" borderId="107" xfId="2117" applyFont="1" applyFill="1" applyBorder="1" applyAlignment="1">
      <alignment horizontal="center" vertical="center" wrapText="1"/>
    </xf>
    <xf numFmtId="0" fontId="29" fillId="10" borderId="0" xfId="2117" applyFont="1" applyFill="1" applyBorder="1" applyAlignment="1">
      <alignment horizontal="center" vertical="center" wrapText="1"/>
    </xf>
    <xf numFmtId="0" fontId="29" fillId="10" borderId="108" xfId="2117" applyFont="1" applyFill="1" applyBorder="1" applyAlignment="1">
      <alignment horizontal="center" vertical="center" wrapText="1"/>
    </xf>
    <xf numFmtId="0" fontId="196" fillId="0" borderId="109" xfId="2118" applyNumberFormat="1" applyFont="1" applyFill="1" applyBorder="1" applyAlignment="1" applyProtection="1">
      <alignment horizontal="left" vertical="center"/>
    </xf>
    <xf numFmtId="0" fontId="200" fillId="0" borderId="109" xfId="0" applyFont="1" applyBorder="1">
      <alignment vertical="center"/>
    </xf>
    <xf numFmtId="0" fontId="29" fillId="10" borderId="136" xfId="2117" applyFont="1" applyFill="1" applyBorder="1" applyAlignment="1">
      <alignment horizontal="center" vertical="center"/>
    </xf>
    <xf numFmtId="0" fontId="45" fillId="10" borderId="136" xfId="2117" applyFont="1" applyFill="1" applyBorder="1" applyAlignment="1">
      <alignment horizontal="center" vertical="center"/>
    </xf>
    <xf numFmtId="0" fontId="46" fillId="10" borderId="0" xfId="2117" applyFont="1" applyFill="1" applyBorder="1" applyAlignment="1">
      <alignment horizontal="center" vertical="center"/>
    </xf>
    <xf numFmtId="0" fontId="46" fillId="10" borderId="76" xfId="2117" applyFont="1" applyFill="1" applyBorder="1" applyAlignment="1">
      <alignment horizontal="center" vertical="center"/>
    </xf>
    <xf numFmtId="0" fontId="46" fillId="10" borderId="75" xfId="2117" applyFont="1" applyFill="1" applyBorder="1" applyAlignment="1">
      <alignment horizontal="center" vertical="center"/>
    </xf>
    <xf numFmtId="0" fontId="20" fillId="4" borderId="0" xfId="2118" applyNumberFormat="1" applyFont="1" applyFill="1" applyBorder="1" applyAlignment="1" applyProtection="1">
      <alignment horizontal="left" vertical="center"/>
    </xf>
    <xf numFmtId="0" fontId="46" fillId="4" borderId="0" xfId="2117" applyFont="1" applyFill="1" applyBorder="1" applyAlignment="1">
      <alignment horizontal="center" vertical="center"/>
    </xf>
    <xf numFmtId="38" fontId="6" fillId="4" borderId="0" xfId="0" applyNumberFormat="1" applyFont="1" applyFill="1" applyBorder="1" applyAlignment="1">
      <alignment horizontal="left" vertical="center"/>
    </xf>
    <xf numFmtId="38" fontId="46" fillId="10" borderId="0" xfId="0" applyNumberFormat="1" applyFont="1" applyFill="1" applyBorder="1" applyAlignment="1">
      <alignment horizontal="center" vertical="center"/>
    </xf>
    <xf numFmtId="38" fontId="29" fillId="10" borderId="107" xfId="0" applyNumberFormat="1" applyFont="1" applyFill="1" applyBorder="1" applyAlignment="1">
      <alignment horizontal="center" vertical="center"/>
    </xf>
    <xf numFmtId="38" fontId="29" fillId="10" borderId="108" xfId="0" applyNumberFormat="1" applyFont="1" applyFill="1" applyBorder="1" applyAlignment="1">
      <alignment horizontal="center" vertical="center"/>
    </xf>
    <xf numFmtId="38" fontId="7" fillId="12" borderId="110" xfId="0" applyNumberFormat="1" applyFont="1" applyFill="1" applyBorder="1" applyAlignment="1">
      <alignment horizontal="center" vertical="center"/>
    </xf>
    <xf numFmtId="38" fontId="7" fillId="12" borderId="0" xfId="0" applyNumberFormat="1" applyFont="1" applyFill="1" applyBorder="1" applyAlignment="1">
      <alignment horizontal="center" vertical="center"/>
    </xf>
    <xf numFmtId="38" fontId="7" fillId="12" borderId="7" xfId="0" applyNumberFormat="1" applyFont="1" applyFill="1" applyBorder="1" applyAlignment="1">
      <alignment horizontal="center" vertical="center"/>
    </xf>
    <xf numFmtId="38" fontId="36" fillId="12" borderId="110" xfId="0" applyNumberFormat="1" applyFont="1" applyFill="1" applyBorder="1" applyAlignment="1">
      <alignment horizontal="center" vertical="center"/>
    </xf>
    <xf numFmtId="38" fontId="36" fillId="12" borderId="0" xfId="0" applyNumberFormat="1" applyFont="1" applyFill="1" applyBorder="1" applyAlignment="1">
      <alignment horizontal="center" vertical="center"/>
    </xf>
    <xf numFmtId="38" fontId="36" fillId="12" borderId="52" xfId="0" applyNumberFormat="1" applyFont="1" applyFill="1" applyBorder="1" applyAlignment="1">
      <alignment horizontal="center" vertical="center"/>
    </xf>
    <xf numFmtId="38" fontId="7" fillId="12" borderId="13" xfId="0" applyNumberFormat="1" applyFont="1" applyFill="1" applyBorder="1" applyAlignment="1">
      <alignment horizontal="center" vertical="center"/>
    </xf>
    <xf numFmtId="38" fontId="7" fillId="12" borderId="111" xfId="0" applyNumberFormat="1" applyFont="1" applyFill="1" applyBorder="1" applyAlignment="1">
      <alignment horizontal="center" vertical="center"/>
    </xf>
    <xf numFmtId="38" fontId="7" fillId="12" borderId="9" xfId="0" applyNumberFormat="1" applyFont="1" applyFill="1" applyBorder="1" applyAlignment="1">
      <alignment horizontal="center" vertical="center"/>
    </xf>
    <xf numFmtId="38" fontId="7" fillId="12" borderId="112" xfId="0" applyNumberFormat="1" applyFont="1" applyFill="1" applyBorder="1" applyAlignment="1">
      <alignment horizontal="center" vertical="center"/>
    </xf>
    <xf numFmtId="0" fontId="21" fillId="10" borderId="0" xfId="2115" applyFont="1" applyFill="1" applyBorder="1" applyAlignment="1">
      <alignment horizontal="center" vertical="center"/>
    </xf>
    <xf numFmtId="0" fontId="21" fillId="10" borderId="18" xfId="2115" applyFont="1" applyFill="1" applyBorder="1" applyAlignment="1">
      <alignment horizontal="center" vertical="center"/>
    </xf>
    <xf numFmtId="0" fontId="21" fillId="0" borderId="0" xfId="2115" applyFont="1" applyFill="1" applyBorder="1" applyAlignment="1">
      <alignment horizontal="center" vertical="center"/>
    </xf>
    <xf numFmtId="255" fontId="9" fillId="0" borderId="13" xfId="1628" applyNumberFormat="1" applyFont="1" applyFill="1" applyBorder="1" applyAlignment="1">
      <alignment vertical="center"/>
    </xf>
    <xf numFmtId="255" fontId="9" fillId="0" borderId="113" xfId="1628" applyNumberFormat="1" applyFont="1" applyFill="1" applyBorder="1" applyAlignment="1">
      <alignment vertical="center"/>
    </xf>
    <xf numFmtId="38" fontId="5" fillId="0" borderId="178" xfId="1628" applyNumberFormat="1" applyFont="1" applyFill="1" applyBorder="1" applyAlignment="1">
      <alignment horizontal="center" vertical="center"/>
    </xf>
    <xf numFmtId="38" fontId="5" fillId="0" borderId="179" xfId="1628" applyNumberFormat="1" applyFont="1" applyFill="1" applyBorder="1" applyAlignment="1">
      <alignment horizontal="center" vertical="center"/>
    </xf>
    <xf numFmtId="38" fontId="5" fillId="0" borderId="180" xfId="1628" applyNumberFormat="1" applyFont="1" applyFill="1" applyBorder="1" applyAlignment="1">
      <alignment horizontal="center" vertical="center"/>
    </xf>
    <xf numFmtId="38" fontId="66" fillId="12" borderId="13" xfId="0" applyNumberFormat="1" applyFont="1" applyFill="1" applyBorder="1" applyAlignment="1">
      <alignment horizontal="left" vertical="center"/>
    </xf>
    <xf numFmtId="38" fontId="66" fillId="12" borderId="52" xfId="0" applyNumberFormat="1" applyFont="1" applyFill="1" applyBorder="1" applyAlignment="1">
      <alignment horizontal="left" vertical="center"/>
    </xf>
    <xf numFmtId="255" fontId="9" fillId="0" borderId="13" xfId="1628" applyNumberFormat="1" applyFont="1" applyFill="1" applyBorder="1" applyAlignment="1">
      <alignment horizontal="right" vertical="center"/>
    </xf>
    <xf numFmtId="255" fontId="9" fillId="0" borderId="113" xfId="1628" applyNumberFormat="1" applyFont="1" applyFill="1" applyBorder="1" applyAlignment="1">
      <alignment horizontal="right" vertical="center"/>
    </xf>
    <xf numFmtId="38" fontId="29" fillId="0" borderId="0" xfId="0" applyNumberFormat="1" applyFont="1" applyFill="1" applyBorder="1" applyAlignment="1">
      <alignment horizontal="center" vertical="center"/>
    </xf>
    <xf numFmtId="38" fontId="29" fillId="10" borderId="120" xfId="0" applyNumberFormat="1" applyFont="1" applyFill="1" applyBorder="1" applyAlignment="1">
      <alignment horizontal="center" vertical="center"/>
    </xf>
    <xf numFmtId="38" fontId="29" fillId="10" borderId="119" xfId="0" applyNumberFormat="1" applyFont="1" applyFill="1" applyBorder="1" applyAlignment="1">
      <alignment horizontal="center" vertical="center"/>
    </xf>
    <xf numFmtId="38" fontId="29" fillId="10" borderId="117" xfId="0" applyNumberFormat="1" applyFont="1" applyFill="1" applyBorder="1" applyAlignment="1">
      <alignment horizontal="center" vertical="center"/>
    </xf>
    <xf numFmtId="38" fontId="29" fillId="10" borderId="118" xfId="0" applyNumberFormat="1" applyFont="1" applyFill="1" applyBorder="1" applyAlignment="1">
      <alignment horizontal="center" vertical="center"/>
    </xf>
    <xf numFmtId="38" fontId="29" fillId="10" borderId="115" xfId="0" applyNumberFormat="1" applyFont="1" applyFill="1" applyBorder="1" applyAlignment="1">
      <alignment horizontal="center" vertical="center"/>
    </xf>
    <xf numFmtId="38" fontId="29" fillId="10" borderId="116" xfId="0" applyNumberFormat="1" applyFont="1" applyFill="1" applyBorder="1" applyAlignment="1">
      <alignment horizontal="center" vertical="center"/>
    </xf>
    <xf numFmtId="38" fontId="45" fillId="0" borderId="119" xfId="0" applyNumberFormat="1" applyFont="1" applyFill="1" applyBorder="1" applyAlignment="1">
      <alignment horizontal="center" vertical="center" wrapText="1"/>
    </xf>
    <xf numFmtId="38" fontId="29" fillId="0" borderId="119" xfId="0" applyNumberFormat="1" applyFont="1" applyFill="1" applyBorder="1" applyAlignment="1">
      <alignment horizontal="center" vertical="center"/>
    </xf>
    <xf numFmtId="183" fontId="14" fillId="0" borderId="18" xfId="2117" applyNumberFormat="1" applyFont="1" applyFill="1" applyBorder="1" applyAlignment="1">
      <alignment vertical="center"/>
    </xf>
    <xf numFmtId="183" fontId="79" fillId="0" borderId="53" xfId="2117" applyNumberFormat="1" applyFont="1" applyFill="1" applyBorder="1" applyAlignment="1">
      <alignment vertical="center"/>
    </xf>
    <xf numFmtId="183" fontId="14" fillId="0" borderId="54" xfId="2117" applyNumberFormat="1" applyFont="1" applyFill="1" applyBorder="1" applyAlignment="1">
      <alignment vertical="center"/>
    </xf>
    <xf numFmtId="183" fontId="79" fillId="0" borderId="18" xfId="2117" applyNumberFormat="1" applyFont="1" applyFill="1" applyBorder="1" applyAlignment="1">
      <alignment vertical="center"/>
    </xf>
    <xf numFmtId="183" fontId="255" fillId="0" borderId="18" xfId="2117" applyNumberFormat="1" applyFont="1" applyFill="1" applyBorder="1" applyAlignment="1">
      <alignment vertical="center"/>
    </xf>
    <xf numFmtId="183" fontId="252" fillId="0" borderId="18" xfId="2117" applyNumberFormat="1" applyFont="1" applyFill="1" applyBorder="1" applyAlignment="1">
      <alignment vertical="center"/>
    </xf>
    <xf numFmtId="183" fontId="263" fillId="0" borderId="54" xfId="2117" applyNumberFormat="1" applyFont="1" applyFill="1" applyBorder="1" applyAlignment="1">
      <alignment vertical="center"/>
    </xf>
    <xf numFmtId="183" fontId="255" fillId="46" borderId="53" xfId="2117" applyNumberFormat="1" applyFont="1" applyFill="1" applyBorder="1" applyAlignment="1">
      <alignment vertical="center"/>
    </xf>
    <xf numFmtId="183" fontId="252" fillId="46" borderId="18" xfId="2117" applyNumberFormat="1" applyFont="1" applyFill="1" applyBorder="1" applyAlignment="1">
      <alignment vertical="center"/>
    </xf>
    <xf numFmtId="183" fontId="255" fillId="44" borderId="18" xfId="2117" applyNumberFormat="1" applyFont="1" applyFill="1" applyBorder="1" applyAlignment="1">
      <alignment vertical="center"/>
    </xf>
    <xf numFmtId="183" fontId="252" fillId="44" borderId="18" xfId="2117" applyNumberFormat="1" applyFont="1" applyFill="1" applyBorder="1" applyAlignment="1">
      <alignment vertical="center"/>
    </xf>
  </cellXfs>
  <cellStyles count="3306">
    <cellStyle name="_x000a_386grabber=M" xfId="1"/>
    <cellStyle name="$" xfId="2"/>
    <cellStyle name="$_db진흥" xfId="3"/>
    <cellStyle name="$_견적2" xfId="4"/>
    <cellStyle name="$_기아" xfId="5"/>
    <cellStyle name="?" xfId="2129"/>
    <cellStyle name="??" xfId="2130"/>
    <cellStyle name="?? [0.00]_pr" xfId="6"/>
    <cellStyle name="??&amp;" xfId="2131"/>
    <cellStyle name="??&amp;O" xfId="2132"/>
    <cellStyle name="??&amp;O?" xfId="2133"/>
    <cellStyle name="??&amp;O?&amp;" xfId="2134"/>
    <cellStyle name="??&amp;O?&amp;H" xfId="2135"/>
    <cellStyle name="??&amp;O?&amp;H?" xfId="2136"/>
    <cellStyle name="??&amp;O?&amp;H?_x0008_" xfId="2137"/>
    <cellStyle name="??&amp;O?&amp;H?_x0008__x000f_" xfId="2138"/>
    <cellStyle name="??&amp;O?&amp;H?_x0008__x000f__x0007_" xfId="2139"/>
    <cellStyle name="??&amp;O?&amp;H?_x0008__x000f_ 2" xfId="2140"/>
    <cellStyle name="??&amp;O?&amp;H?_x0008__x000f_ 3" xfId="2141"/>
    <cellStyle name="??&amp;O?&amp;H?_x0008__x000f_ 4" xfId="2142"/>
    <cellStyle name="??&amp;O?&amp;H?_x0008__x000f_ 5" xfId="2143"/>
    <cellStyle name="??&amp;O?&amp;H?_x0008__x000f_ 6" xfId="2144"/>
    <cellStyle name="??&amp;O?&amp;H?_x0008_?" xfId="2145"/>
    <cellStyle name="??&amp;O?&amp;H?_x0008__x000f__x0007_?" xfId="2146"/>
    <cellStyle name="??&amp;O?&amp;H?_x0008__x000f__x0007_?_x0007__x0001__x0001_" xfId="7"/>
    <cellStyle name="??&amp;O?&amp;H?_x0008_??" xfId="2147"/>
    <cellStyle name="??&amp;O?&amp;H?_x0008_??_x0007_" xfId="2148"/>
    <cellStyle name="??&amp;O?&amp;H?_x0008_??_x0007__x0001_" xfId="2149"/>
    <cellStyle name="??&amp;O?&amp;H?_x0008_??_x0007__x0001__x0001_" xfId="8"/>
    <cellStyle name="??&amp;O?&amp;H?_x0008_?? 2" xfId="2150"/>
    <cellStyle name="??&amp;O?&amp;H?_x0008_?? 3" xfId="2151"/>
    <cellStyle name="??&amp;O?&amp;H?_x0008_?? 4" xfId="2152"/>
    <cellStyle name="??&amp;O?&amp;H?_x0008_?? 5" xfId="2153"/>
    <cellStyle name="??&amp;O?&amp;H?_x0008_?? 6" xfId="2154"/>
    <cellStyle name="??&amp;O?&amp;H?_x0008__(작업파일)_상세명세_0901" xfId="2155"/>
    <cellStyle name="??&amp;O?&amp;H?_x0008__x000f__(작업파일)_상세명세_0901" xfId="2156"/>
    <cellStyle name="??&amp;O?&amp;H?_x0008__(작업파일)_상세명세_0901_1" xfId="2157"/>
    <cellStyle name="??&amp;O?&amp;H?_x0008_x_x000b_P_x000c__x0007__x0001__x0001_" xfId="2158"/>
    <cellStyle name="??&amp;O_(작업파일)_상세명세_0901" xfId="2159"/>
    <cellStyle name="???­" xfId="9"/>
    <cellStyle name="???­ [0]" xfId="10"/>
    <cellStyle name="?????_VERA" xfId="2160"/>
    <cellStyle name="????_????bal" xfId="11"/>
    <cellStyle name="???­_????¿?" xfId="2161"/>
    <cellStyle name="???ø" xfId="12"/>
    <cellStyle name="??_(작업파일)_상세명세_0901" xfId="2162"/>
    <cellStyle name="?þ¸¶" xfId="13"/>
    <cellStyle name="?þ¸¶ [0]" xfId="14"/>
    <cellStyle name="?Þ¸¶_????¿?" xfId="2163"/>
    <cellStyle name="?霖_?寇bal" xfId="15"/>
    <cellStyle name="?핺_CASH FLOW " xfId="16"/>
    <cellStyle name="_(07-07-19)1사분기 영업실적(잠정) 자료제출요구서(양식-일반)(1)" xfId="17"/>
    <cellStyle name="_(C) 5200.300  원화채권 Lead의 워크시트" xfId="2164"/>
    <cellStyle name="_(작업파일)_상세명세_0901" xfId="2165"/>
    <cellStyle name="_(작업파일)_상세명세_0901_1" xfId="2166"/>
    <cellStyle name="_(작업파일)_상세명세_0901_1101 부실검사의뢰명세(공통업무개발부 고호준)" xfId="2167"/>
    <cellStyle name="_(작업파일)상세명세_0804" xfId="2168"/>
    <cellStyle name="_~4747474" xfId="2169"/>
    <cellStyle name="_~4747474_1" xfId="2170"/>
    <cellStyle name="_~MF3326" xfId="18"/>
    <cellStyle name="_~MF3326_1" xfId="19"/>
    <cellStyle name="_~MF3326_2" xfId="20"/>
    <cellStyle name="_~MF3326_3" xfId="21"/>
    <cellStyle name="_~MF3326_4" xfId="22"/>
    <cellStyle name="_~MF3326_5" xfId="23"/>
    <cellStyle name="_&lt;32&gt;" xfId="2171"/>
    <cellStyle name="_00 개정내용(종합)(2400~2500)(개정)" xfId="24"/>
    <cellStyle name="_030820 Final 확정업무보고서(2003.2분기)" xfId="25"/>
    <cellStyle name="_0706OC조서_김갑제" xfId="2172"/>
    <cellStyle name="_0724 대손상각 최종명세(발표용)70704현재" xfId="2173"/>
    <cellStyle name="_07년 8월 OC 조서_손정남2_0809수정" xfId="2174"/>
    <cellStyle name="_175기3분기주석(통합은행)" xfId="26"/>
    <cellStyle name="_175기주석(양식)" xfId="27"/>
    <cellStyle name="_2003 6월 재무제표(4)" xfId="2175"/>
    <cellStyle name="_2003.3_4분기_경영관리팀_82~83_제출_현호씨" xfId="28"/>
    <cellStyle name="_2003.3_4분기_경영관리팀_할부금융,비용" xfId="29"/>
    <cellStyle name="_2003.4_4분기_경영관리팀(김기배대리)" xfId="30"/>
    <cellStyle name="_2003.4_4분기_경영관리팀(김기배대리)_20040316" xfId="31"/>
    <cellStyle name="_2006년 8월 OC 조서_이정석." xfId="2176"/>
    <cellStyle name="_200701수정BS말잔-5" xfId="2177"/>
    <cellStyle name="_200703수정은행BS말잔(3)" xfId="2178"/>
    <cellStyle name="_200703수정은행BS말잔(6)" xfId="2179"/>
    <cellStyle name="_200703수정은행IS(3)" xfId="2180"/>
    <cellStyle name="_200703수정은행IS(6)" xfId="2181"/>
    <cellStyle name="_200706수정은행BS말잔(V-4)" xfId="2182"/>
    <cellStyle name="_200706수정은행IS(V-3)" xfId="2183"/>
    <cellStyle name="_200706수정은행IS(V-4)" xfId="2184"/>
    <cellStyle name="_200706수정은행IS(V-7)" xfId="2185"/>
    <cellStyle name="_20070920-OC자료(자금팀)_SME연체자료" xfId="2186"/>
    <cellStyle name="_2라_자산건전성(051223)" xfId="32"/>
    <cellStyle name="_2마_수익성(061222)" xfId="33"/>
    <cellStyle name="_6월자산건전성분류(최종)8월26일s" xfId="34"/>
    <cellStyle name="_6월자산건전성분류_최종" xfId="35"/>
    <cellStyle name="_7월누적투자" xfId="36"/>
    <cellStyle name="_ABS" xfId="2187"/>
    <cellStyle name="_abs우리모아1차(6월)" xfId="2188"/>
    <cellStyle name="_b2402-shb-0609-총괄(1)" xfId="37"/>
    <cellStyle name="_B2403F5(0606)_060710" xfId="38"/>
    <cellStyle name="_B2403F5(0606)_060710(최종)" xfId="39"/>
    <cellStyle name="_B2403F5(0610)_061115" xfId="40"/>
    <cellStyle name="_B2506(구조흥)200609" xfId="41"/>
    <cellStyle name="_B2601-자산부채만기구조(리스크관리팀김지일과장)" xfId="2189"/>
    <cellStyle name="_Book1" xfId="42"/>
    <cellStyle name="_Data Room(03)" xfId="2190"/>
    <cellStyle name="_foxz" xfId="43"/>
    <cellStyle name="_FS03.07" xfId="2191"/>
    <cellStyle name="_leadsheet(스파클)" xfId="44"/>
    <cellStyle name="_MBS관련(신용우)" xfId="2192"/>
    <cellStyle name="_MBS관련(신용우)_1" xfId="2193"/>
    <cellStyle name="_Needed Data for Stand alone OC final final-1" xfId="2194"/>
    <cellStyle name="_OC(kook)" xfId="2195"/>
    <cellStyle name="_OC_유가증권 차주별 정리_20070630" xfId="2196"/>
    <cellStyle name="_OC_유가증권 차주별 정리_20070630 (2)" xfId="2197"/>
    <cellStyle name="_OC조서_유가증권등" xfId="2198"/>
    <cellStyle name="_Offering Circular_대출채권_PBC_0612" xfId="2199"/>
    <cellStyle name="_Offering Circular_대출채권0706" xfId="2200"/>
    <cellStyle name="_Offering Circular_대출채권0706(exposure)" xfId="2201"/>
    <cellStyle name="_P110원화단기차입금요청_답변" xfId="2202"/>
    <cellStyle name="_P111~117" xfId="2203"/>
    <cellStyle name="_P136~139" xfId="2204"/>
    <cellStyle name="_P141~145" xfId="2205"/>
    <cellStyle name="_P16~17final" xfId="2206"/>
    <cellStyle name="_Research_Report용(2001년말).xls Chart 1" xfId="45"/>
    <cellStyle name="_Research_Report용(2001년말).xls Chart 10" xfId="46"/>
    <cellStyle name="_Research_Report용(2001년말).xls Chart 11" xfId="47"/>
    <cellStyle name="_Research_Report용(2001년말).xls Chart 12" xfId="48"/>
    <cellStyle name="_Research_Report용(2001년말).xls Chart 13" xfId="49"/>
    <cellStyle name="_Research_Report용(2001년말).xls Chart 14" xfId="50"/>
    <cellStyle name="_Research_Report용(2001년말).xls Chart 15" xfId="51"/>
    <cellStyle name="_Research_Report용(2001년말).xls Chart 16" xfId="52"/>
    <cellStyle name="_Research_Report용(2001년말).xls Chart 17" xfId="53"/>
    <cellStyle name="_Research_Report용(2001년말).xls Chart 18" xfId="54"/>
    <cellStyle name="_Research_Report용(2001년말).xls Chart 19" xfId="55"/>
    <cellStyle name="_Research_Report용(2001년말).xls Chart 2" xfId="56"/>
    <cellStyle name="_Research_Report용(2001년말).xls Chart 20" xfId="57"/>
    <cellStyle name="_Research_Report용(2001년말).xls Chart 21" xfId="58"/>
    <cellStyle name="_Research_Report용(2001년말).xls Chart 3" xfId="59"/>
    <cellStyle name="_Research_Report용(2001년말).xls Chart 4" xfId="60"/>
    <cellStyle name="_Research_Report용(2001년말).xls Chart 5" xfId="61"/>
    <cellStyle name="_Research_Report용(2001년말).xls Chart 6" xfId="62"/>
    <cellStyle name="_Research_Report용(2001년말).xls Chart 7" xfId="63"/>
    <cellStyle name="_Research_Report용(2001년말).xls Chart 8" xfId="64"/>
    <cellStyle name="_Research_Report용(2001년말).xls Chart 9" xfId="65"/>
    <cellStyle name="_Row1" xfId="66"/>
    <cellStyle name="_Sheet1" xfId="2207"/>
    <cellStyle name="_감독원용재무제표0606" xfId="67"/>
    <cellStyle name="_감사인제출(V3)" xfId="2208"/>
    <cellStyle name="_개발비상각1" xfId="68"/>
    <cellStyle name="_개인수신요청_답변" xfId="2209"/>
    <cellStyle name="_결산200412_0124_v1_감사후_bs pl" xfId="69"/>
    <cellStyle name="_경비집행내역 추정" xfId="2210"/>
    <cellStyle name="_경영관리3분기_박정호대리비용" xfId="70"/>
    <cellStyle name="_경영관리비용(0204김기배)" xfId="71"/>
    <cellStyle name="_경영관리비용(0304김기배최종)" xfId="72"/>
    <cellStyle name="_경영관리팀(2002.4_4분기)" xfId="73"/>
    <cellStyle name="_계정과목별대손상각" xfId="2211"/>
    <cellStyle name="_공표BSIS200706(V1)" xfId="2212"/>
    <cellStyle name="_공표BSIS200706(V3)" xfId="2213"/>
    <cellStyle name="_단기금융팀_2006.12" xfId="2214"/>
    <cellStyle name="_대손충당금_요약" xfId="2215"/>
    <cellStyle name="_대손충당금_요약_최종" xfId="2216"/>
    <cellStyle name="_대차대조표(공고용)_20070630_(최종2)" xfId="74"/>
    <cellStyle name="_대차대조표(공고용)_20070630_(최종2) 2" xfId="75"/>
    <cellStyle name="_대차대조표(공고용)_20070630_(최종2) 2 2" xfId="76"/>
    <cellStyle name="_대차대조표(공고용)_20070630_(최종2) 2 2 2" xfId="77"/>
    <cellStyle name="_대차대조표(공고용)_20070630_(최종2) 2 2 3" xfId="78"/>
    <cellStyle name="_대차대조표(공고용)_20070630_(최종2) 2 3" xfId="79"/>
    <cellStyle name="_대차대조표(공고용)_20070630_(최종2) 2 4" xfId="80"/>
    <cellStyle name="_대차대조표(공고용)_20070630_(최종2) 3" xfId="81"/>
    <cellStyle name="_대차대조표(공고용)_20070630_(최종2) 3 2" xfId="82"/>
    <cellStyle name="_대차대조표(공고용)_20070630_(최종2) 3 3" xfId="83"/>
    <cellStyle name="_대차대조표(공고용)_20070630_(최종2) 4" xfId="84"/>
    <cellStyle name="_대차대조표(공고용)_20070630_(최종2) 4 2" xfId="85"/>
    <cellStyle name="_대차대조표(공고용)_20070630_(최종2) 4 3" xfId="86"/>
    <cellStyle name="_대차대조표(공고용)_20070630_(최종2) 5" xfId="87"/>
    <cellStyle name="_대차대조표(공고용)_20070630_(최종2) 6" xfId="88"/>
    <cellStyle name="_대차대조표(공고용)_20070630_(최종2) 7" xfId="89"/>
    <cellStyle name="_소코드1" xfId="90"/>
    <cellStyle name="_수정사항(8월26일)" xfId="91"/>
    <cellStyle name="_순계손익" xfId="2217"/>
    <cellStyle name="_신청점별" xfId="2218"/>
    <cellStyle name="_업무보고서(2003.6월)미수금예수금조정" xfId="92"/>
    <cellStyle name="_영업외손익 LS" xfId="93"/>
    <cellStyle name="_오호석부장1014" xfId="94"/>
    <cellStyle name="_오호석차장0625" xfId="95"/>
    <cellStyle name="_오호석차장0723" xfId="96"/>
    <cellStyle name="_원화저축성예금만기구조(1)" xfId="2219"/>
    <cellStyle name="_유가증권 순위" xfId="2220"/>
    <cellStyle name="_유가증권BS LEAD" xfId="2221"/>
    <cellStyle name="_이용욱(05.20) 2004편성2-4분기(수정최종)" xfId="2222"/>
    <cellStyle name="_이재민과장0206_무형자산상각" xfId="97"/>
    <cellStyle name="_이진우대리(0540725)" xfId="98"/>
    <cellStyle name="_이진우氏0204(2)" xfId="99"/>
    <cellStyle name="_이진우氏0727" xfId="100"/>
    <cellStyle name="_재무실적6월" xfId="2223"/>
    <cellStyle name="_재무제표공시용200703" xfId="2224"/>
    <cellStyle name="_재벌 Exposure가공" xfId="2225"/>
    <cellStyle name="_종금PBC_Offering Circular_대출채권_0612" xfId="2226"/>
    <cellStyle name="_주석_손상차손환입" xfId="2227"/>
    <cellStyle name="_차주규모별대손상각현황(안진회계법인)" xfId="2228"/>
    <cellStyle name="_충당금결산0706(최종)" xfId="101"/>
    <cellStyle name="_충당금결산0706(최종) 2" xfId="102"/>
    <cellStyle name="_충당금결산0706(최종) 2 2" xfId="103"/>
    <cellStyle name="_충당금결산0706(최종) 2 2 2" xfId="104"/>
    <cellStyle name="_충당금결산0706(최종) 2 2 3" xfId="105"/>
    <cellStyle name="_충당금결산0706(최종) 2 3" xfId="106"/>
    <cellStyle name="_충당금결산0706(최종) 2 4" xfId="107"/>
    <cellStyle name="_충당금결산0706(최종) 3" xfId="108"/>
    <cellStyle name="_충당금결산0706(최종) 3 2" xfId="109"/>
    <cellStyle name="_충당금결산0706(최종) 3 3" xfId="110"/>
    <cellStyle name="_충당금결산0706(최종) 4" xfId="111"/>
    <cellStyle name="_충당금결산0706(최종) 4 2" xfId="112"/>
    <cellStyle name="_충당금결산0706(최종) 4 3" xfId="113"/>
    <cellStyle name="_충당금결산0706(최종) 5" xfId="114"/>
    <cellStyle name="_충당금결산0706(최종) 6" xfId="115"/>
    <cellStyle name="_충당금결산0706(최종) 7" xfId="116"/>
    <cellStyle name="_투자금융손익 및 ABS영업(1)_returned" xfId="2229"/>
    <cellStyle name="_파생TradingVolume_061231" xfId="2230"/>
    <cellStyle name="_파생상품 Trading Volume현황_070630_returned" xfId="2231"/>
    <cellStyle name="_판관,제조경비" xfId="117"/>
    <cellStyle name="_판관비 LS" xfId="118"/>
    <cellStyle name="_회계팀 이정석회계사님(06년12월 예수금자료)" xfId="2232"/>
    <cellStyle name="æøè [0.00" xfId="119"/>
    <cellStyle name="æøè_produ" xfId="120"/>
    <cellStyle name="êý [0.00]_pr" xfId="121"/>
    <cellStyle name="êý_product d" xfId="122"/>
    <cellStyle name="w_bookship" xfId="123"/>
    <cellStyle name="0" xfId="124"/>
    <cellStyle name="¹?ºð?²" xfId="125"/>
    <cellStyle name="¹éºðà²" xfId="126"/>
    <cellStyle name="¹eºÐA²_AIAIC°AuCoE² " xfId="127"/>
    <cellStyle name="¹éºðà²_b2432상업용부동산대출현황" xfId="128"/>
    <cellStyle name="20% - 강조색1 10" xfId="129"/>
    <cellStyle name="20% - 강조색1 11" xfId="130"/>
    <cellStyle name="20% - 강조색1 12" xfId="131"/>
    <cellStyle name="20% - 강조색1 13" xfId="132"/>
    <cellStyle name="20% - 강조색1 14" xfId="133"/>
    <cellStyle name="20% - 강조색1 15" xfId="134"/>
    <cellStyle name="20% - 강조색1 16" xfId="135"/>
    <cellStyle name="20% - 강조색1 17" xfId="136"/>
    <cellStyle name="20% - 강조색1 18" xfId="137"/>
    <cellStyle name="20% - 강조색1 19" xfId="138"/>
    <cellStyle name="20% - 강조색1 2" xfId="139"/>
    <cellStyle name="20% - 강조색1 20" xfId="140"/>
    <cellStyle name="20% - 강조색1 21" xfId="141"/>
    <cellStyle name="20% - 강조색1 22" xfId="142"/>
    <cellStyle name="20% - 강조색1 23" xfId="143"/>
    <cellStyle name="20% - 강조색1 24" xfId="144"/>
    <cellStyle name="20% - 강조색1 25" xfId="145"/>
    <cellStyle name="20% - 강조색1 26" xfId="146"/>
    <cellStyle name="20% - 강조색1 27" xfId="147"/>
    <cellStyle name="20% - 강조색1 28" xfId="148"/>
    <cellStyle name="20% - 강조색1 29" xfId="149"/>
    <cellStyle name="20% - 강조색1 3" xfId="150"/>
    <cellStyle name="20% - 강조색1 30" xfId="151"/>
    <cellStyle name="20% - 강조색1 31" xfId="152"/>
    <cellStyle name="20% - 강조색1 32" xfId="3260"/>
    <cellStyle name="20% - 강조색1 4" xfId="153"/>
    <cellStyle name="20% - 강조색1 5" xfId="154"/>
    <cellStyle name="20% - 강조색1 6" xfId="155"/>
    <cellStyle name="20% - 강조색1 7" xfId="156"/>
    <cellStyle name="20% - 강조색1 8" xfId="157"/>
    <cellStyle name="20% - 강조색1 9" xfId="158"/>
    <cellStyle name="20% - 강조색2 10" xfId="159"/>
    <cellStyle name="20% - 강조색2 11" xfId="160"/>
    <cellStyle name="20% - 강조색2 12" xfId="161"/>
    <cellStyle name="20% - 강조색2 13" xfId="162"/>
    <cellStyle name="20% - 강조색2 14" xfId="163"/>
    <cellStyle name="20% - 강조색2 15" xfId="164"/>
    <cellStyle name="20% - 강조색2 16" xfId="165"/>
    <cellStyle name="20% - 강조색2 17" xfId="166"/>
    <cellStyle name="20% - 강조색2 18" xfId="167"/>
    <cellStyle name="20% - 강조색2 19" xfId="168"/>
    <cellStyle name="20% - 강조색2 2" xfId="169"/>
    <cellStyle name="20% - 강조색2 20" xfId="170"/>
    <cellStyle name="20% - 강조색2 21" xfId="171"/>
    <cellStyle name="20% - 강조색2 22" xfId="172"/>
    <cellStyle name="20% - 강조색2 23" xfId="173"/>
    <cellStyle name="20% - 강조색2 24" xfId="174"/>
    <cellStyle name="20% - 강조색2 25" xfId="175"/>
    <cellStyle name="20% - 강조색2 26" xfId="176"/>
    <cellStyle name="20% - 강조색2 27" xfId="177"/>
    <cellStyle name="20% - 강조색2 28" xfId="178"/>
    <cellStyle name="20% - 강조색2 29" xfId="179"/>
    <cellStyle name="20% - 강조색2 3" xfId="180"/>
    <cellStyle name="20% - 강조색2 30" xfId="181"/>
    <cellStyle name="20% - 강조색2 31" xfId="182"/>
    <cellStyle name="20% - 강조색2 32" xfId="3261"/>
    <cellStyle name="20% - 강조색2 4" xfId="183"/>
    <cellStyle name="20% - 강조색2 5" xfId="184"/>
    <cellStyle name="20% - 강조색2 6" xfId="185"/>
    <cellStyle name="20% - 강조색2 7" xfId="186"/>
    <cellStyle name="20% - 강조색2 8" xfId="187"/>
    <cellStyle name="20% - 강조색2 9" xfId="188"/>
    <cellStyle name="20% - 강조색3 10" xfId="189"/>
    <cellStyle name="20% - 강조색3 11" xfId="190"/>
    <cellStyle name="20% - 강조색3 12" xfId="191"/>
    <cellStyle name="20% - 강조색3 13" xfId="192"/>
    <cellStyle name="20% - 강조색3 14" xfId="193"/>
    <cellStyle name="20% - 강조색3 15" xfId="194"/>
    <cellStyle name="20% - 강조색3 16" xfId="195"/>
    <cellStyle name="20% - 강조색3 17" xfId="196"/>
    <cellStyle name="20% - 강조색3 18" xfId="197"/>
    <cellStyle name="20% - 강조색3 19" xfId="198"/>
    <cellStyle name="20% - 강조색3 2" xfId="199"/>
    <cellStyle name="20% - 강조색3 20" xfId="200"/>
    <cellStyle name="20% - 강조색3 21" xfId="201"/>
    <cellStyle name="20% - 강조색3 22" xfId="202"/>
    <cellStyle name="20% - 강조색3 23" xfId="203"/>
    <cellStyle name="20% - 강조색3 24" xfId="204"/>
    <cellStyle name="20% - 강조색3 25" xfId="205"/>
    <cellStyle name="20% - 강조색3 26" xfId="206"/>
    <cellStyle name="20% - 강조색3 27" xfId="207"/>
    <cellStyle name="20% - 강조색3 28" xfId="208"/>
    <cellStyle name="20% - 강조색3 29" xfId="209"/>
    <cellStyle name="20% - 강조색3 3" xfId="210"/>
    <cellStyle name="20% - 강조색3 30" xfId="211"/>
    <cellStyle name="20% - 강조색3 31" xfId="212"/>
    <cellStyle name="20% - 강조색3 32" xfId="3262"/>
    <cellStyle name="20% - 강조색3 4" xfId="213"/>
    <cellStyle name="20% - 강조색3 5" xfId="214"/>
    <cellStyle name="20% - 강조색3 6" xfId="215"/>
    <cellStyle name="20% - 강조색3 7" xfId="216"/>
    <cellStyle name="20% - 강조색3 8" xfId="217"/>
    <cellStyle name="20% - 강조색3 9" xfId="218"/>
    <cellStyle name="20% - 강조색4 10" xfId="219"/>
    <cellStyle name="20% - 강조색4 11" xfId="220"/>
    <cellStyle name="20% - 강조색4 12" xfId="221"/>
    <cellStyle name="20% - 강조색4 13" xfId="222"/>
    <cellStyle name="20% - 강조색4 14" xfId="223"/>
    <cellStyle name="20% - 강조색4 15" xfId="224"/>
    <cellStyle name="20% - 강조색4 16" xfId="225"/>
    <cellStyle name="20% - 강조색4 17" xfId="226"/>
    <cellStyle name="20% - 강조색4 18" xfId="227"/>
    <cellStyle name="20% - 강조색4 19" xfId="228"/>
    <cellStyle name="20% - 강조색4 2" xfId="229"/>
    <cellStyle name="20% - 강조색4 20" xfId="230"/>
    <cellStyle name="20% - 강조색4 21" xfId="231"/>
    <cellStyle name="20% - 강조색4 22" xfId="232"/>
    <cellStyle name="20% - 강조색4 23" xfId="233"/>
    <cellStyle name="20% - 강조색4 24" xfId="234"/>
    <cellStyle name="20% - 강조색4 25" xfId="235"/>
    <cellStyle name="20% - 강조색4 26" xfId="236"/>
    <cellStyle name="20% - 강조색4 27" xfId="237"/>
    <cellStyle name="20% - 강조색4 28" xfId="238"/>
    <cellStyle name="20% - 강조색4 29" xfId="239"/>
    <cellStyle name="20% - 강조색4 3" xfId="240"/>
    <cellStyle name="20% - 강조색4 30" xfId="241"/>
    <cellStyle name="20% - 강조색4 31" xfId="242"/>
    <cellStyle name="20% - 강조색4 32" xfId="3263"/>
    <cellStyle name="20% - 강조색4 4" xfId="243"/>
    <cellStyle name="20% - 강조색4 5" xfId="244"/>
    <cellStyle name="20% - 강조색4 6" xfId="245"/>
    <cellStyle name="20% - 강조색4 7" xfId="246"/>
    <cellStyle name="20% - 강조색4 8" xfId="247"/>
    <cellStyle name="20% - 강조색4 9" xfId="248"/>
    <cellStyle name="20% - 강조색5 10" xfId="249"/>
    <cellStyle name="20% - 강조색5 11" xfId="250"/>
    <cellStyle name="20% - 강조색5 12" xfId="251"/>
    <cellStyle name="20% - 강조색5 13" xfId="252"/>
    <cellStyle name="20% - 강조색5 14" xfId="253"/>
    <cellStyle name="20% - 강조색5 15" xfId="254"/>
    <cellStyle name="20% - 강조색5 16" xfId="255"/>
    <cellStyle name="20% - 강조색5 17" xfId="256"/>
    <cellStyle name="20% - 강조색5 18" xfId="257"/>
    <cellStyle name="20% - 강조색5 19" xfId="258"/>
    <cellStyle name="20% - 강조색5 2" xfId="259"/>
    <cellStyle name="20% - 강조색5 20" xfId="260"/>
    <cellStyle name="20% - 강조색5 21" xfId="261"/>
    <cellStyle name="20% - 강조색5 22" xfId="262"/>
    <cellStyle name="20% - 강조색5 23" xfId="263"/>
    <cellStyle name="20% - 강조색5 24" xfId="264"/>
    <cellStyle name="20% - 강조색5 25" xfId="265"/>
    <cellStyle name="20% - 강조색5 26" xfId="266"/>
    <cellStyle name="20% - 강조색5 27" xfId="267"/>
    <cellStyle name="20% - 강조색5 28" xfId="268"/>
    <cellStyle name="20% - 강조색5 29" xfId="269"/>
    <cellStyle name="20% - 강조색5 3" xfId="270"/>
    <cellStyle name="20% - 강조색5 30" xfId="271"/>
    <cellStyle name="20% - 강조색5 31" xfId="272"/>
    <cellStyle name="20% - 강조색5 32" xfId="3264"/>
    <cellStyle name="20% - 강조색5 4" xfId="273"/>
    <cellStyle name="20% - 강조색5 5" xfId="274"/>
    <cellStyle name="20% - 강조색5 6" xfId="275"/>
    <cellStyle name="20% - 강조색5 7" xfId="276"/>
    <cellStyle name="20% - 강조색5 8" xfId="277"/>
    <cellStyle name="20% - 강조색5 9" xfId="278"/>
    <cellStyle name="20% - 강조색6 10" xfId="279"/>
    <cellStyle name="20% - 강조색6 11" xfId="280"/>
    <cellStyle name="20% - 강조색6 12" xfId="281"/>
    <cellStyle name="20% - 강조색6 13" xfId="282"/>
    <cellStyle name="20% - 강조색6 14" xfId="283"/>
    <cellStyle name="20% - 강조색6 15" xfId="284"/>
    <cellStyle name="20% - 강조색6 16" xfId="285"/>
    <cellStyle name="20% - 강조색6 17" xfId="286"/>
    <cellStyle name="20% - 강조색6 18" xfId="287"/>
    <cellStyle name="20% - 강조색6 19" xfId="288"/>
    <cellStyle name="20% - 강조색6 2" xfId="289"/>
    <cellStyle name="20% - 강조색6 20" xfId="290"/>
    <cellStyle name="20% - 강조색6 21" xfId="291"/>
    <cellStyle name="20% - 강조색6 22" xfId="292"/>
    <cellStyle name="20% - 강조색6 23" xfId="293"/>
    <cellStyle name="20% - 강조색6 24" xfId="294"/>
    <cellStyle name="20% - 강조색6 25" xfId="295"/>
    <cellStyle name="20% - 강조색6 26" xfId="296"/>
    <cellStyle name="20% - 강조색6 27" xfId="297"/>
    <cellStyle name="20% - 강조색6 28" xfId="298"/>
    <cellStyle name="20% - 강조색6 29" xfId="299"/>
    <cellStyle name="20% - 강조색6 3" xfId="300"/>
    <cellStyle name="20% - 강조색6 30" xfId="301"/>
    <cellStyle name="20% - 강조색6 31" xfId="302"/>
    <cellStyle name="20% - 강조색6 32" xfId="3265"/>
    <cellStyle name="20% - 강조색6 4" xfId="303"/>
    <cellStyle name="20% - 강조색6 5" xfId="304"/>
    <cellStyle name="20% - 강조색6 6" xfId="305"/>
    <cellStyle name="20% - 강조색6 7" xfId="306"/>
    <cellStyle name="20% - 강조색6 8" xfId="307"/>
    <cellStyle name="20% - 강조색6 9" xfId="308"/>
    <cellStyle name="40% - 강조색1 10" xfId="309"/>
    <cellStyle name="40% - 강조색1 11" xfId="310"/>
    <cellStyle name="40% - 강조색1 12" xfId="311"/>
    <cellStyle name="40% - 강조색1 13" xfId="312"/>
    <cellStyle name="40% - 강조색1 14" xfId="313"/>
    <cellStyle name="40% - 강조색1 15" xfId="314"/>
    <cellStyle name="40% - 강조색1 16" xfId="315"/>
    <cellStyle name="40% - 강조색1 17" xfId="316"/>
    <cellStyle name="40% - 강조색1 18" xfId="317"/>
    <cellStyle name="40% - 강조색1 19" xfId="318"/>
    <cellStyle name="40% - 강조색1 2" xfId="319"/>
    <cellStyle name="40% - 강조색1 20" xfId="320"/>
    <cellStyle name="40% - 강조색1 21" xfId="321"/>
    <cellStyle name="40% - 강조색1 22" xfId="322"/>
    <cellStyle name="40% - 강조색1 23" xfId="323"/>
    <cellStyle name="40% - 강조색1 24" xfId="324"/>
    <cellStyle name="40% - 강조색1 25" xfId="325"/>
    <cellStyle name="40% - 강조색1 26" xfId="326"/>
    <cellStyle name="40% - 강조색1 27" xfId="327"/>
    <cellStyle name="40% - 강조색1 28" xfId="328"/>
    <cellStyle name="40% - 강조색1 29" xfId="329"/>
    <cellStyle name="40% - 강조색1 3" xfId="330"/>
    <cellStyle name="40% - 강조색1 30" xfId="331"/>
    <cellStyle name="40% - 강조색1 31" xfId="332"/>
    <cellStyle name="40% - 강조색1 32" xfId="3266"/>
    <cellStyle name="40% - 강조색1 4" xfId="333"/>
    <cellStyle name="40% - 강조색1 5" xfId="334"/>
    <cellStyle name="40% - 강조색1 6" xfId="335"/>
    <cellStyle name="40% - 강조색1 7" xfId="336"/>
    <cellStyle name="40% - 강조색1 8" xfId="337"/>
    <cellStyle name="40% - 강조색1 9" xfId="338"/>
    <cellStyle name="40% - 강조색2 10" xfId="339"/>
    <cellStyle name="40% - 강조색2 11" xfId="340"/>
    <cellStyle name="40% - 강조색2 12" xfId="341"/>
    <cellStyle name="40% - 강조색2 13" xfId="342"/>
    <cellStyle name="40% - 강조색2 14" xfId="343"/>
    <cellStyle name="40% - 강조색2 15" xfId="344"/>
    <cellStyle name="40% - 강조색2 16" xfId="345"/>
    <cellStyle name="40% - 강조색2 17" xfId="346"/>
    <cellStyle name="40% - 강조색2 18" xfId="347"/>
    <cellStyle name="40% - 강조색2 19" xfId="348"/>
    <cellStyle name="40% - 강조색2 2" xfId="349"/>
    <cellStyle name="40% - 강조색2 20" xfId="350"/>
    <cellStyle name="40% - 강조색2 21" xfId="351"/>
    <cellStyle name="40% - 강조색2 22" xfId="352"/>
    <cellStyle name="40% - 강조색2 23" xfId="353"/>
    <cellStyle name="40% - 강조색2 24" xfId="354"/>
    <cellStyle name="40% - 강조색2 25" xfId="355"/>
    <cellStyle name="40% - 강조색2 26" xfId="356"/>
    <cellStyle name="40% - 강조색2 27" xfId="357"/>
    <cellStyle name="40% - 강조색2 28" xfId="358"/>
    <cellStyle name="40% - 강조색2 29" xfId="359"/>
    <cellStyle name="40% - 강조색2 3" xfId="360"/>
    <cellStyle name="40% - 강조색2 30" xfId="361"/>
    <cellStyle name="40% - 강조색2 31" xfId="362"/>
    <cellStyle name="40% - 강조색2 32" xfId="3267"/>
    <cellStyle name="40% - 강조색2 4" xfId="363"/>
    <cellStyle name="40% - 강조색2 5" xfId="364"/>
    <cellStyle name="40% - 강조색2 6" xfId="365"/>
    <cellStyle name="40% - 강조색2 7" xfId="366"/>
    <cellStyle name="40% - 강조색2 8" xfId="367"/>
    <cellStyle name="40% - 강조색2 9" xfId="368"/>
    <cellStyle name="40% - 강조색3 10" xfId="369"/>
    <cellStyle name="40% - 강조색3 11" xfId="370"/>
    <cellStyle name="40% - 강조색3 12" xfId="371"/>
    <cellStyle name="40% - 강조색3 13" xfId="372"/>
    <cellStyle name="40% - 강조색3 14" xfId="373"/>
    <cellStyle name="40% - 강조색3 15" xfId="374"/>
    <cellStyle name="40% - 강조색3 16" xfId="375"/>
    <cellStyle name="40% - 강조색3 17" xfId="376"/>
    <cellStyle name="40% - 강조색3 18" xfId="377"/>
    <cellStyle name="40% - 강조색3 19" xfId="378"/>
    <cellStyle name="40% - 강조색3 2" xfId="379"/>
    <cellStyle name="40% - 강조색3 20" xfId="380"/>
    <cellStyle name="40% - 강조색3 21" xfId="381"/>
    <cellStyle name="40% - 강조색3 22" xfId="382"/>
    <cellStyle name="40% - 강조색3 23" xfId="383"/>
    <cellStyle name="40% - 강조색3 24" xfId="384"/>
    <cellStyle name="40% - 강조색3 25" xfId="385"/>
    <cellStyle name="40% - 강조색3 26" xfId="386"/>
    <cellStyle name="40% - 강조색3 27" xfId="387"/>
    <cellStyle name="40% - 강조색3 28" xfId="388"/>
    <cellStyle name="40% - 강조색3 29" xfId="389"/>
    <cellStyle name="40% - 강조색3 3" xfId="390"/>
    <cellStyle name="40% - 강조색3 30" xfId="391"/>
    <cellStyle name="40% - 강조색3 31" xfId="392"/>
    <cellStyle name="40% - 강조색3 32" xfId="3268"/>
    <cellStyle name="40% - 강조색3 4" xfId="393"/>
    <cellStyle name="40% - 강조색3 5" xfId="394"/>
    <cellStyle name="40% - 강조색3 6" xfId="395"/>
    <cellStyle name="40% - 강조색3 7" xfId="396"/>
    <cellStyle name="40% - 강조색3 8" xfId="397"/>
    <cellStyle name="40% - 강조색3 9" xfId="398"/>
    <cellStyle name="40% - 강조색4 10" xfId="399"/>
    <cellStyle name="40% - 강조색4 11" xfId="400"/>
    <cellStyle name="40% - 강조색4 12" xfId="401"/>
    <cellStyle name="40% - 강조색4 13" xfId="402"/>
    <cellStyle name="40% - 강조색4 14" xfId="403"/>
    <cellStyle name="40% - 강조색4 15" xfId="404"/>
    <cellStyle name="40% - 강조색4 16" xfId="405"/>
    <cellStyle name="40% - 강조색4 17" xfId="406"/>
    <cellStyle name="40% - 강조색4 18" xfId="407"/>
    <cellStyle name="40% - 강조색4 19" xfId="408"/>
    <cellStyle name="40% - 강조색4 2" xfId="409"/>
    <cellStyle name="40% - 강조색4 20" xfId="410"/>
    <cellStyle name="40% - 강조색4 21" xfId="411"/>
    <cellStyle name="40% - 강조색4 22" xfId="412"/>
    <cellStyle name="40% - 강조색4 23" xfId="413"/>
    <cellStyle name="40% - 강조색4 24" xfId="414"/>
    <cellStyle name="40% - 강조색4 25" xfId="415"/>
    <cellStyle name="40% - 강조색4 26" xfId="416"/>
    <cellStyle name="40% - 강조색4 27" xfId="417"/>
    <cellStyle name="40% - 강조색4 28" xfId="418"/>
    <cellStyle name="40% - 강조색4 29" xfId="419"/>
    <cellStyle name="40% - 강조색4 3" xfId="420"/>
    <cellStyle name="40% - 강조색4 30" xfId="421"/>
    <cellStyle name="40% - 강조색4 31" xfId="422"/>
    <cellStyle name="40% - 강조색4 32" xfId="3269"/>
    <cellStyle name="40% - 강조색4 4" xfId="423"/>
    <cellStyle name="40% - 강조색4 5" xfId="424"/>
    <cellStyle name="40% - 강조색4 6" xfId="425"/>
    <cellStyle name="40% - 강조색4 7" xfId="426"/>
    <cellStyle name="40% - 강조색4 8" xfId="427"/>
    <cellStyle name="40% - 강조색4 9" xfId="428"/>
    <cellStyle name="40% - 강조색5 10" xfId="429"/>
    <cellStyle name="40% - 강조색5 11" xfId="430"/>
    <cellStyle name="40% - 강조색5 12" xfId="431"/>
    <cellStyle name="40% - 강조색5 13" xfId="432"/>
    <cellStyle name="40% - 강조색5 14" xfId="433"/>
    <cellStyle name="40% - 강조색5 15" xfId="434"/>
    <cellStyle name="40% - 강조색5 16" xfId="435"/>
    <cellStyle name="40% - 강조색5 17" xfId="436"/>
    <cellStyle name="40% - 강조색5 18" xfId="437"/>
    <cellStyle name="40% - 강조색5 19" xfId="438"/>
    <cellStyle name="40% - 강조색5 2" xfId="439"/>
    <cellStyle name="40% - 강조색5 20" xfId="440"/>
    <cellStyle name="40% - 강조색5 21" xfId="441"/>
    <cellStyle name="40% - 강조색5 22" xfId="442"/>
    <cellStyle name="40% - 강조색5 23" xfId="443"/>
    <cellStyle name="40% - 강조색5 24" xfId="444"/>
    <cellStyle name="40% - 강조색5 25" xfId="445"/>
    <cellStyle name="40% - 강조색5 26" xfId="446"/>
    <cellStyle name="40% - 강조색5 27" xfId="447"/>
    <cellStyle name="40% - 강조색5 28" xfId="448"/>
    <cellStyle name="40% - 강조색5 29" xfId="449"/>
    <cellStyle name="40% - 강조색5 3" xfId="450"/>
    <cellStyle name="40% - 강조색5 30" xfId="451"/>
    <cellStyle name="40% - 강조색5 31" xfId="452"/>
    <cellStyle name="40% - 강조색5 32" xfId="3270"/>
    <cellStyle name="40% - 강조색5 4" xfId="453"/>
    <cellStyle name="40% - 강조색5 5" xfId="454"/>
    <cellStyle name="40% - 강조색5 6" xfId="455"/>
    <cellStyle name="40% - 강조색5 7" xfId="456"/>
    <cellStyle name="40% - 강조색5 8" xfId="457"/>
    <cellStyle name="40% - 강조색5 9" xfId="458"/>
    <cellStyle name="40% - 강조색6 10" xfId="459"/>
    <cellStyle name="40% - 강조색6 11" xfId="460"/>
    <cellStyle name="40% - 강조색6 12" xfId="461"/>
    <cellStyle name="40% - 강조색6 13" xfId="462"/>
    <cellStyle name="40% - 강조색6 14" xfId="463"/>
    <cellStyle name="40% - 강조색6 15" xfId="464"/>
    <cellStyle name="40% - 강조색6 16" xfId="465"/>
    <cellStyle name="40% - 강조색6 17" xfId="466"/>
    <cellStyle name="40% - 강조색6 18" xfId="467"/>
    <cellStyle name="40% - 강조색6 19" xfId="468"/>
    <cellStyle name="40% - 강조색6 2" xfId="469"/>
    <cellStyle name="40% - 강조색6 20" xfId="470"/>
    <cellStyle name="40% - 강조색6 21" xfId="471"/>
    <cellStyle name="40% - 강조색6 22" xfId="472"/>
    <cellStyle name="40% - 강조색6 23" xfId="473"/>
    <cellStyle name="40% - 강조색6 24" xfId="474"/>
    <cellStyle name="40% - 강조색6 25" xfId="475"/>
    <cellStyle name="40% - 강조색6 26" xfId="476"/>
    <cellStyle name="40% - 강조색6 27" xfId="477"/>
    <cellStyle name="40% - 강조색6 28" xfId="478"/>
    <cellStyle name="40% - 강조색6 29" xfId="479"/>
    <cellStyle name="40% - 강조색6 3" xfId="480"/>
    <cellStyle name="40% - 강조색6 30" xfId="481"/>
    <cellStyle name="40% - 강조색6 31" xfId="482"/>
    <cellStyle name="40% - 강조색6 32" xfId="3271"/>
    <cellStyle name="40% - 강조색6 4" xfId="483"/>
    <cellStyle name="40% - 강조색6 5" xfId="484"/>
    <cellStyle name="40% - 강조색6 6" xfId="485"/>
    <cellStyle name="40% - 강조색6 7" xfId="486"/>
    <cellStyle name="40% - 강조색6 8" xfId="487"/>
    <cellStyle name="40% - 강조색6 9" xfId="488"/>
    <cellStyle name="60% - 강조색1 10" xfId="489"/>
    <cellStyle name="60% - 강조색1 11" xfId="490"/>
    <cellStyle name="60% - 강조색1 12" xfId="491"/>
    <cellStyle name="60% - 강조색1 13" xfId="492"/>
    <cellStyle name="60% - 강조색1 14" xfId="493"/>
    <cellStyle name="60% - 강조색1 15" xfId="494"/>
    <cellStyle name="60% - 강조색1 16" xfId="495"/>
    <cellStyle name="60% - 강조색1 17" xfId="496"/>
    <cellStyle name="60% - 강조색1 18" xfId="497"/>
    <cellStyle name="60% - 강조색1 19" xfId="498"/>
    <cellStyle name="60% - 강조색1 2" xfId="499"/>
    <cellStyle name="60% - 강조색1 20" xfId="500"/>
    <cellStyle name="60% - 강조색1 21" xfId="501"/>
    <cellStyle name="60% - 강조색1 22" xfId="502"/>
    <cellStyle name="60% - 강조색1 23" xfId="503"/>
    <cellStyle name="60% - 강조색1 24" xfId="504"/>
    <cellStyle name="60% - 강조색1 25" xfId="505"/>
    <cellStyle name="60% - 강조색1 26" xfId="506"/>
    <cellStyle name="60% - 강조색1 27" xfId="507"/>
    <cellStyle name="60% - 강조색1 28" xfId="508"/>
    <cellStyle name="60% - 강조색1 29" xfId="509"/>
    <cellStyle name="60% - 강조색1 3" xfId="510"/>
    <cellStyle name="60% - 강조색1 30" xfId="511"/>
    <cellStyle name="60% - 강조색1 31" xfId="512"/>
    <cellStyle name="60% - 강조색1 32" xfId="3272"/>
    <cellStyle name="60% - 강조색1 4" xfId="513"/>
    <cellStyle name="60% - 강조색1 5" xfId="514"/>
    <cellStyle name="60% - 강조색1 6" xfId="515"/>
    <cellStyle name="60% - 강조색1 7" xfId="516"/>
    <cellStyle name="60% - 강조색1 8" xfId="517"/>
    <cellStyle name="60% - 강조색1 9" xfId="518"/>
    <cellStyle name="60% - 강조색2 10" xfId="519"/>
    <cellStyle name="60% - 강조색2 11" xfId="520"/>
    <cellStyle name="60% - 강조색2 12" xfId="521"/>
    <cellStyle name="60% - 강조색2 13" xfId="522"/>
    <cellStyle name="60% - 강조색2 14" xfId="523"/>
    <cellStyle name="60% - 강조색2 15" xfId="524"/>
    <cellStyle name="60% - 강조색2 16" xfId="525"/>
    <cellStyle name="60% - 강조색2 17" xfId="526"/>
    <cellStyle name="60% - 강조색2 18" xfId="527"/>
    <cellStyle name="60% - 강조색2 19" xfId="528"/>
    <cellStyle name="60% - 강조색2 2" xfId="529"/>
    <cellStyle name="60% - 강조색2 20" xfId="530"/>
    <cellStyle name="60% - 강조색2 21" xfId="531"/>
    <cellStyle name="60% - 강조색2 22" xfId="532"/>
    <cellStyle name="60% - 강조색2 23" xfId="533"/>
    <cellStyle name="60% - 강조색2 24" xfId="534"/>
    <cellStyle name="60% - 강조색2 25" xfId="535"/>
    <cellStyle name="60% - 강조색2 26" xfId="536"/>
    <cellStyle name="60% - 강조색2 27" xfId="537"/>
    <cellStyle name="60% - 강조색2 28" xfId="538"/>
    <cellStyle name="60% - 강조색2 29" xfId="539"/>
    <cellStyle name="60% - 강조색2 3" xfId="540"/>
    <cellStyle name="60% - 강조색2 30" xfId="541"/>
    <cellStyle name="60% - 강조색2 31" xfId="542"/>
    <cellStyle name="60% - 강조색2 32" xfId="3273"/>
    <cellStyle name="60% - 강조색2 4" xfId="543"/>
    <cellStyle name="60% - 강조색2 5" xfId="544"/>
    <cellStyle name="60% - 강조색2 6" xfId="545"/>
    <cellStyle name="60% - 강조색2 7" xfId="546"/>
    <cellStyle name="60% - 강조색2 8" xfId="547"/>
    <cellStyle name="60% - 강조색2 9" xfId="548"/>
    <cellStyle name="60% - 강조색3 10" xfId="549"/>
    <cellStyle name="60% - 강조색3 11" xfId="550"/>
    <cellStyle name="60% - 강조색3 12" xfId="551"/>
    <cellStyle name="60% - 강조색3 13" xfId="552"/>
    <cellStyle name="60% - 강조색3 14" xfId="553"/>
    <cellStyle name="60% - 강조색3 15" xfId="554"/>
    <cellStyle name="60% - 강조색3 16" xfId="555"/>
    <cellStyle name="60% - 강조색3 17" xfId="556"/>
    <cellStyle name="60% - 강조색3 18" xfId="557"/>
    <cellStyle name="60% - 강조색3 19" xfId="558"/>
    <cellStyle name="60% - 강조색3 2" xfId="559"/>
    <cellStyle name="60% - 강조색3 20" xfId="560"/>
    <cellStyle name="60% - 강조색3 21" xfId="561"/>
    <cellStyle name="60% - 강조색3 22" xfId="562"/>
    <cellStyle name="60% - 강조색3 23" xfId="563"/>
    <cellStyle name="60% - 강조색3 24" xfId="564"/>
    <cellStyle name="60% - 강조색3 25" xfId="565"/>
    <cellStyle name="60% - 강조색3 26" xfId="566"/>
    <cellStyle name="60% - 강조색3 27" xfId="567"/>
    <cellStyle name="60% - 강조색3 28" xfId="568"/>
    <cellStyle name="60% - 강조색3 29" xfId="569"/>
    <cellStyle name="60% - 강조색3 3" xfId="570"/>
    <cellStyle name="60% - 강조색3 30" xfId="571"/>
    <cellStyle name="60% - 강조색3 31" xfId="572"/>
    <cellStyle name="60% - 강조색3 32" xfId="3274"/>
    <cellStyle name="60% - 강조색3 4" xfId="573"/>
    <cellStyle name="60% - 강조색3 5" xfId="574"/>
    <cellStyle name="60% - 강조색3 6" xfId="575"/>
    <cellStyle name="60% - 강조색3 7" xfId="576"/>
    <cellStyle name="60% - 강조색3 8" xfId="577"/>
    <cellStyle name="60% - 강조색3 9" xfId="578"/>
    <cellStyle name="60% - 강조색4 10" xfId="579"/>
    <cellStyle name="60% - 강조색4 11" xfId="580"/>
    <cellStyle name="60% - 강조색4 12" xfId="581"/>
    <cellStyle name="60% - 강조색4 13" xfId="582"/>
    <cellStyle name="60% - 강조색4 14" xfId="583"/>
    <cellStyle name="60% - 강조색4 15" xfId="584"/>
    <cellStyle name="60% - 강조색4 16" xfId="585"/>
    <cellStyle name="60% - 강조색4 17" xfId="586"/>
    <cellStyle name="60% - 강조색4 18" xfId="587"/>
    <cellStyle name="60% - 강조색4 19" xfId="588"/>
    <cellStyle name="60% - 강조색4 2" xfId="589"/>
    <cellStyle name="60% - 강조색4 20" xfId="590"/>
    <cellStyle name="60% - 강조색4 21" xfId="591"/>
    <cellStyle name="60% - 강조색4 22" xfId="592"/>
    <cellStyle name="60% - 강조색4 23" xfId="593"/>
    <cellStyle name="60% - 강조색4 24" xfId="594"/>
    <cellStyle name="60% - 강조색4 25" xfId="595"/>
    <cellStyle name="60% - 강조색4 26" xfId="596"/>
    <cellStyle name="60% - 강조색4 27" xfId="597"/>
    <cellStyle name="60% - 강조색4 28" xfId="598"/>
    <cellStyle name="60% - 강조색4 29" xfId="599"/>
    <cellStyle name="60% - 강조색4 3" xfId="600"/>
    <cellStyle name="60% - 강조색4 30" xfId="601"/>
    <cellStyle name="60% - 강조색4 31" xfId="602"/>
    <cellStyle name="60% - 강조색4 32" xfId="3275"/>
    <cellStyle name="60% - 강조색4 4" xfId="603"/>
    <cellStyle name="60% - 강조색4 5" xfId="604"/>
    <cellStyle name="60% - 강조색4 6" xfId="605"/>
    <cellStyle name="60% - 강조색4 7" xfId="606"/>
    <cellStyle name="60% - 강조색4 8" xfId="607"/>
    <cellStyle name="60% - 강조색4 9" xfId="608"/>
    <cellStyle name="60% - 강조색5 10" xfId="609"/>
    <cellStyle name="60% - 강조색5 11" xfId="610"/>
    <cellStyle name="60% - 강조색5 12" xfId="611"/>
    <cellStyle name="60% - 강조색5 13" xfId="612"/>
    <cellStyle name="60% - 강조색5 14" xfId="613"/>
    <cellStyle name="60% - 강조색5 15" xfId="614"/>
    <cellStyle name="60% - 강조색5 16" xfId="615"/>
    <cellStyle name="60% - 강조색5 17" xfId="616"/>
    <cellStyle name="60% - 강조색5 18" xfId="617"/>
    <cellStyle name="60% - 강조색5 19" xfId="618"/>
    <cellStyle name="60% - 강조색5 2" xfId="619"/>
    <cellStyle name="60% - 강조색5 20" xfId="620"/>
    <cellStyle name="60% - 강조색5 21" xfId="621"/>
    <cellStyle name="60% - 강조색5 22" xfId="622"/>
    <cellStyle name="60% - 강조색5 23" xfId="623"/>
    <cellStyle name="60% - 강조색5 24" xfId="624"/>
    <cellStyle name="60% - 강조색5 25" xfId="625"/>
    <cellStyle name="60% - 강조색5 26" xfId="626"/>
    <cellStyle name="60% - 강조색5 27" xfId="627"/>
    <cellStyle name="60% - 강조색5 28" xfId="628"/>
    <cellStyle name="60% - 강조색5 29" xfId="629"/>
    <cellStyle name="60% - 강조색5 3" xfId="630"/>
    <cellStyle name="60% - 강조색5 30" xfId="631"/>
    <cellStyle name="60% - 강조색5 31" xfId="632"/>
    <cellStyle name="60% - 강조색5 32" xfId="3276"/>
    <cellStyle name="60% - 강조색5 4" xfId="633"/>
    <cellStyle name="60% - 강조색5 5" xfId="634"/>
    <cellStyle name="60% - 강조색5 6" xfId="635"/>
    <cellStyle name="60% - 강조색5 7" xfId="636"/>
    <cellStyle name="60% - 강조색5 8" xfId="637"/>
    <cellStyle name="60% - 강조색5 9" xfId="638"/>
    <cellStyle name="60% - 강조색6 10" xfId="639"/>
    <cellStyle name="60% - 강조색6 11" xfId="640"/>
    <cellStyle name="60% - 강조색6 12" xfId="641"/>
    <cellStyle name="60% - 강조색6 13" xfId="642"/>
    <cellStyle name="60% - 강조색6 14" xfId="643"/>
    <cellStyle name="60% - 강조색6 15" xfId="644"/>
    <cellStyle name="60% - 강조색6 16" xfId="645"/>
    <cellStyle name="60% - 강조색6 17" xfId="646"/>
    <cellStyle name="60% - 강조색6 18" xfId="647"/>
    <cellStyle name="60% - 강조색6 19" xfId="648"/>
    <cellStyle name="60% - 강조색6 2" xfId="649"/>
    <cellStyle name="60% - 강조색6 20" xfId="650"/>
    <cellStyle name="60% - 강조색6 21" xfId="651"/>
    <cellStyle name="60% - 강조색6 22" xfId="652"/>
    <cellStyle name="60% - 강조색6 23" xfId="653"/>
    <cellStyle name="60% - 강조색6 24" xfId="654"/>
    <cellStyle name="60% - 강조색6 25" xfId="655"/>
    <cellStyle name="60% - 강조색6 26" xfId="656"/>
    <cellStyle name="60% - 강조색6 27" xfId="657"/>
    <cellStyle name="60% - 강조색6 28" xfId="658"/>
    <cellStyle name="60% - 강조색6 29" xfId="659"/>
    <cellStyle name="60% - 강조색6 3" xfId="660"/>
    <cellStyle name="60% - 강조색6 30" xfId="661"/>
    <cellStyle name="60% - 강조색6 31" xfId="662"/>
    <cellStyle name="60% - 강조색6 32" xfId="3277"/>
    <cellStyle name="60% - 강조색6 4" xfId="663"/>
    <cellStyle name="60% - 강조색6 5" xfId="664"/>
    <cellStyle name="60% - 강조색6 6" xfId="665"/>
    <cellStyle name="60% - 강조색6 7" xfId="666"/>
    <cellStyle name="60% - 강조색6 8" xfId="667"/>
    <cellStyle name="60% - 강조색6 9" xfId="668"/>
    <cellStyle name="Ⅰ" xfId="669"/>
    <cellStyle name="A¨­￠￢￠O [0]_C¡IAo_AoAUAy¡ÆeC¡I" xfId="670"/>
    <cellStyle name="A¨­￠￢￠O_AoAUAy¡ÆeC¡I " xfId="671"/>
    <cellStyle name="Accent1" xfId="2233"/>
    <cellStyle name="Accent1 - 20%" xfId="2234"/>
    <cellStyle name="Accent1 - 40%" xfId="2235"/>
    <cellStyle name="Accent1 - 60%" xfId="2236"/>
    <cellStyle name="Accent2" xfId="2237"/>
    <cellStyle name="Accent2 - 20%" xfId="2238"/>
    <cellStyle name="Accent2 - 40%" xfId="2239"/>
    <cellStyle name="Accent2 - 60%" xfId="2240"/>
    <cellStyle name="Accent3" xfId="2241"/>
    <cellStyle name="Accent3 - 20%" xfId="2242"/>
    <cellStyle name="Accent3 - 40%" xfId="2243"/>
    <cellStyle name="Accent3 - 60%" xfId="2244"/>
    <cellStyle name="Accent4" xfId="2245"/>
    <cellStyle name="Accent4 - 20%" xfId="2246"/>
    <cellStyle name="Accent4 - 40%" xfId="2247"/>
    <cellStyle name="Accent4 - 60%" xfId="2248"/>
    <cellStyle name="Accent5" xfId="2249"/>
    <cellStyle name="Accent5 - 20%" xfId="2250"/>
    <cellStyle name="Accent5 - 40%" xfId="2251"/>
    <cellStyle name="Accent5 - 60%" xfId="2252"/>
    <cellStyle name="Accent6" xfId="2253"/>
    <cellStyle name="Accent6 - 20%" xfId="2254"/>
    <cellStyle name="Accent6 - 40%" xfId="2255"/>
    <cellStyle name="Accent6 - 60%" xfId="2256"/>
    <cellStyle name="Åëè­" xfId="672"/>
    <cellStyle name="Åëè­ [0]" xfId="673"/>
    <cellStyle name="AeE­ [0]_´e¼OAæ´c±Y" xfId="674"/>
    <cellStyle name="Åëè­ [0]_090608_업무보고서 개정_복호화(2)" xfId="675"/>
    <cellStyle name="AeE­ [0]_97MBO" xfId="676"/>
    <cellStyle name="ÅëÈ­ [0]_97MBO" xfId="677"/>
    <cellStyle name="AeE­ [0]_97MBO (2)" xfId="678"/>
    <cellStyle name="ÅëÈ­ [0]_97MBO (2)" xfId="679"/>
    <cellStyle name="AeE­ [0]_97MBO (2) 10" xfId="680"/>
    <cellStyle name="ÅëÈ­ [0]_97MBO (2) 10" xfId="2257"/>
    <cellStyle name="AeE­ [0]_97MBO (2) 11" xfId="2258"/>
    <cellStyle name="ÅëÈ­ [0]_97MBO (2) 11" xfId="2259"/>
    <cellStyle name="AeE­ [0]_97MBO (2) 12" xfId="2260"/>
    <cellStyle name="ÅëÈ­ [0]_97MBO (2) 12" xfId="2261"/>
    <cellStyle name="AeE­ [0]_97MBO (2) 13" xfId="2262"/>
    <cellStyle name="ÅëÈ­ [0]_97MBO (2) 13" xfId="2263"/>
    <cellStyle name="AeE­ [0]_97MBO (2) 14" xfId="2264"/>
    <cellStyle name="ÅëÈ­ [0]_97MBO (2) 14" xfId="2265"/>
    <cellStyle name="AeE­ [0]_97MBO (2) 2" xfId="2266"/>
    <cellStyle name="ÅëÈ­ [0]_97MBO (2) 2" xfId="2267"/>
    <cellStyle name="AeE­ [0]_97MBO (2) 2 2" xfId="2268"/>
    <cellStyle name="ÅëÈ­ [0]_97MBO (2) 3" xfId="2269"/>
    <cellStyle name="AeE­ [0]_97MBO (2) 3 2" xfId="2270"/>
    <cellStyle name="ÅëÈ­ [0]_97MBO (2) 4" xfId="2271"/>
    <cellStyle name="AeE­ [0]_97MBO (2) 4 2" xfId="2272"/>
    <cellStyle name="ÅëÈ­ [0]_97MBO (2) 5" xfId="2273"/>
    <cellStyle name="AeE­ [0]_97MBO (2) 5 2" xfId="2274"/>
    <cellStyle name="ÅëÈ­ [0]_97MBO (2) 6" xfId="2275"/>
    <cellStyle name="AeE­ [0]_97MBO (2) 7" xfId="2276"/>
    <cellStyle name="ÅëÈ­ [0]_97MBO (2) 7" xfId="2277"/>
    <cellStyle name="AeE­ [0]_97MBO (2) 8" xfId="2278"/>
    <cellStyle name="ÅëÈ­ [0]_97MBO (2) 8" xfId="2279"/>
    <cellStyle name="AeE­ [0]_97MBO (2) 9" xfId="2280"/>
    <cellStyle name="ÅëÈ­ [0]_97MBO (2) 9" xfId="2281"/>
    <cellStyle name="AeE­ [0]_97MBO 10" xfId="2282"/>
    <cellStyle name="ÅëÈ­ [0]_97MBO 10" xfId="2283"/>
    <cellStyle name="AeE­ [0]_97MBO 11" xfId="2284"/>
    <cellStyle name="ÅëÈ­ [0]_97MBO 11" xfId="2285"/>
    <cellStyle name="AeE­ [0]_97MBO 12" xfId="2286"/>
    <cellStyle name="ÅëÈ­ [0]_97MBO 12" xfId="2287"/>
    <cellStyle name="AeE­ [0]_97MBO 13" xfId="2288"/>
    <cellStyle name="ÅëÈ­ [0]_97MBO 13" xfId="2289"/>
    <cellStyle name="AeE­ [0]_97MBO 14" xfId="2290"/>
    <cellStyle name="ÅëÈ­ [0]_97MBO 14" xfId="2291"/>
    <cellStyle name="AeE­ [0]_97MBO 2" xfId="2292"/>
    <cellStyle name="ÅëÈ­ [0]_97MBO 2" xfId="2293"/>
    <cellStyle name="AeE­ [0]_97MBO 2 2" xfId="2294"/>
    <cellStyle name="ÅëÈ­ [0]_97MBO 3" xfId="2295"/>
    <cellStyle name="AeE­ [0]_97MBO 3 2" xfId="2296"/>
    <cellStyle name="ÅëÈ­ [0]_97MBO 4" xfId="2297"/>
    <cellStyle name="AeE­ [0]_97MBO 4 2" xfId="2298"/>
    <cellStyle name="ÅëÈ­ [0]_97MBO 5" xfId="2299"/>
    <cellStyle name="AeE­ [0]_97MBO 5 2" xfId="2300"/>
    <cellStyle name="ÅëÈ­ [0]_97MBO 6" xfId="2301"/>
    <cellStyle name="AeE­ [0]_97MBO 7" xfId="2302"/>
    <cellStyle name="ÅëÈ­ [0]_97MBO 7" xfId="2303"/>
    <cellStyle name="AeE­ [0]_97MBO 8" xfId="2304"/>
    <cellStyle name="ÅëÈ­ [0]_97MBO 8" xfId="2305"/>
    <cellStyle name="AeE­ [0]_97MBO 9" xfId="2306"/>
    <cellStyle name="ÅëÈ­ [0]_97MBO 9" xfId="2307"/>
    <cellStyle name="AeE­ [0]_Ao±C Project" xfId="2308"/>
    <cellStyle name="ÅëÈ­ [0]_Áõ±Ç Project" xfId="681"/>
    <cellStyle name="AeE­ [0]_Ao±C Project 10" xfId="682"/>
    <cellStyle name="ÅëÈ­ [0]_Áõ±Ç Project 10" xfId="2309"/>
    <cellStyle name="AeE­ [0]_Ao±C Project 11" xfId="2310"/>
    <cellStyle name="ÅëÈ­ [0]_Áõ±Ç Project 11" xfId="2311"/>
    <cellStyle name="AeE­ [0]_Ao±C Project 12" xfId="2312"/>
    <cellStyle name="ÅëÈ­ [0]_Áõ±Ç Project 12" xfId="2313"/>
    <cellStyle name="AeE­ [0]_Ao±C Project 13" xfId="2314"/>
    <cellStyle name="ÅëÈ­ [0]_Áõ±Ç Project 13" xfId="2315"/>
    <cellStyle name="AeE­ [0]_Ao±C Project 14" xfId="2316"/>
    <cellStyle name="ÅëÈ­ [0]_Áõ±Ç Project 14" xfId="2317"/>
    <cellStyle name="AeE­ [0]_Ao±C Project 2" xfId="2318"/>
    <cellStyle name="ÅëÈ­ [0]_Áõ±Ç Project 2" xfId="2319"/>
    <cellStyle name="AeE­ [0]_Ao±C Project 2 2" xfId="2320"/>
    <cellStyle name="ÅëÈ­ [0]_Áõ±Ç Project 3" xfId="2321"/>
    <cellStyle name="AeE­ [0]_Ao±C Project 3 2" xfId="2322"/>
    <cellStyle name="ÅëÈ­ [0]_Áõ±Ç Project 4" xfId="2323"/>
    <cellStyle name="AeE­ [0]_Ao±C Project 4 2" xfId="2324"/>
    <cellStyle name="ÅëÈ­ [0]_Áõ±Ç Project 5" xfId="2325"/>
    <cellStyle name="AeE­ [0]_Ao±C Project 5 2" xfId="2326"/>
    <cellStyle name="ÅëÈ­ [0]_Áõ±Ç Project 6" xfId="2327"/>
    <cellStyle name="AeE­ [0]_Ao±C Project 7" xfId="2328"/>
    <cellStyle name="ÅëÈ­ [0]_Áõ±Ç Project 7" xfId="2329"/>
    <cellStyle name="AeE­ [0]_Ao±C Project 8" xfId="2330"/>
    <cellStyle name="ÅëÈ­ [0]_Áõ±Ç Project 8" xfId="2331"/>
    <cellStyle name="AeE­ [0]_Ao±C Project 9" xfId="2332"/>
    <cellStyle name="ÅëÈ­ [0]_Áõ±Ç Project 9" xfId="2333"/>
    <cellStyle name="AeE­ [0]_COºI project" xfId="2334"/>
    <cellStyle name="ÅëÈ­ [0]_ÇÒºÎ project" xfId="683"/>
    <cellStyle name="AeE­ [0]_COºI project 10" xfId="684"/>
    <cellStyle name="ÅëÈ­ [0]_ÇÒºÎ project 10" xfId="2335"/>
    <cellStyle name="AeE­ [0]_COºI project 11" xfId="2336"/>
    <cellStyle name="ÅëÈ­ [0]_ÇÒºÎ project 11" xfId="2337"/>
    <cellStyle name="AeE­ [0]_COºI project 12" xfId="2338"/>
    <cellStyle name="ÅëÈ­ [0]_ÇÒºÎ project 12" xfId="2339"/>
    <cellStyle name="AeE­ [0]_COºI project 13" xfId="2340"/>
    <cellStyle name="ÅëÈ­ [0]_ÇÒºÎ project 13" xfId="2341"/>
    <cellStyle name="AeE­ [0]_COºI project 14" xfId="2342"/>
    <cellStyle name="ÅëÈ­ [0]_ÇÒºÎ project 14" xfId="2343"/>
    <cellStyle name="AeE­ [0]_COºI project 2" xfId="2344"/>
    <cellStyle name="ÅëÈ­ [0]_ÇÒºÎ project 2" xfId="2345"/>
    <cellStyle name="AeE­ [0]_COºI project 2 2" xfId="2346"/>
    <cellStyle name="ÅëÈ­ [0]_ÇÒºÎ project 3" xfId="2347"/>
    <cellStyle name="AeE­ [0]_COºI project 3 2" xfId="2348"/>
    <cellStyle name="ÅëÈ­ [0]_ÇÒºÎ project 4" xfId="2349"/>
    <cellStyle name="AeE­ [0]_COºI project 4 2" xfId="2350"/>
    <cellStyle name="ÅëÈ­ [0]_ÇÒºÎ project 5" xfId="2351"/>
    <cellStyle name="AeE­ [0]_COºI project 5 2" xfId="2352"/>
    <cellStyle name="ÅëÈ­ [0]_ÇÒºÎ project 6" xfId="2353"/>
    <cellStyle name="AeE­ [0]_COºI project 7" xfId="2354"/>
    <cellStyle name="ÅëÈ­ [0]_ÇÒºÎ project 7" xfId="2355"/>
    <cellStyle name="AeE­ [0]_COºI project 8" xfId="2356"/>
    <cellStyle name="ÅëÈ­ [0]_ÇÒºÎ project 8" xfId="2357"/>
    <cellStyle name="AeE­ [0]_COºI project 9" xfId="2358"/>
    <cellStyle name="ÅëÈ­ [0]_ÇÒºÎ project 9" xfId="2359"/>
    <cellStyle name="AeE­ [0]_laroux" xfId="2360"/>
    <cellStyle name="ÅëÈ­ [0]_laroux" xfId="685"/>
    <cellStyle name="AeE­ [0]_laroux 10" xfId="2361"/>
    <cellStyle name="ÅëÈ­ [0]_laroux 10" xfId="2362"/>
    <cellStyle name="AeE­ [0]_laroux 11" xfId="2363"/>
    <cellStyle name="ÅëÈ­ [0]_laroux 11" xfId="2364"/>
    <cellStyle name="AeE­ [0]_laroux 12" xfId="2365"/>
    <cellStyle name="ÅëÈ­ [0]_laroux 12" xfId="2366"/>
    <cellStyle name="AeE­ [0]_laroux 13" xfId="2367"/>
    <cellStyle name="ÅëÈ­ [0]_laroux 13" xfId="2368"/>
    <cellStyle name="AeE­ [0]_laroux 14" xfId="2369"/>
    <cellStyle name="ÅëÈ­ [0]_laroux 14" xfId="2370"/>
    <cellStyle name="AeE­ [0]_laroux 2" xfId="686"/>
    <cellStyle name="ÅëÈ­ [0]_laroux 2" xfId="2371"/>
    <cellStyle name="AeE­ [0]_laroux 2 2" xfId="2372"/>
    <cellStyle name="ÅëÈ­ [0]_laroux 3" xfId="2373"/>
    <cellStyle name="AeE­ [0]_laroux 3 2" xfId="2374"/>
    <cellStyle name="ÅëÈ­ [0]_laroux 4" xfId="2375"/>
    <cellStyle name="AeE­ [0]_laroux 4 2" xfId="2376"/>
    <cellStyle name="ÅëÈ­ [0]_laroux 5" xfId="2377"/>
    <cellStyle name="AeE­ [0]_laroux 5 2" xfId="2378"/>
    <cellStyle name="ÅëÈ­ [0]_laroux 6" xfId="2379"/>
    <cellStyle name="AeE­ [0]_laroux 7" xfId="2380"/>
    <cellStyle name="ÅëÈ­ [0]_laroux 7" xfId="2381"/>
    <cellStyle name="AeE­ [0]_laroux 8" xfId="2382"/>
    <cellStyle name="ÅëÈ­ [0]_laroux 8" xfId="2383"/>
    <cellStyle name="AeE­ [0]_laroux 9" xfId="2384"/>
    <cellStyle name="ÅëÈ­ [0]_laroux 9" xfId="2385"/>
    <cellStyle name="AeE­ [0]_laroux_1" xfId="2386"/>
    <cellStyle name="ÅëÈ­ [0]_laroux_1" xfId="687"/>
    <cellStyle name="AeE­ [0]_laroux_1 10" xfId="688"/>
    <cellStyle name="ÅëÈ­ [0]_laroux_1 10" xfId="2387"/>
    <cellStyle name="AeE­ [0]_laroux_1 11" xfId="2388"/>
    <cellStyle name="ÅëÈ­ [0]_laroux_1 11" xfId="2389"/>
    <cellStyle name="AeE­ [0]_laroux_1 12" xfId="2390"/>
    <cellStyle name="ÅëÈ­ [0]_laroux_1 12" xfId="2391"/>
    <cellStyle name="AeE­ [0]_laroux_1 13" xfId="2392"/>
    <cellStyle name="ÅëÈ­ [0]_laroux_1 13" xfId="2393"/>
    <cellStyle name="AeE­ [0]_laroux_1 14" xfId="2394"/>
    <cellStyle name="ÅëÈ­ [0]_laroux_1 14" xfId="2395"/>
    <cellStyle name="AeE­ [0]_laroux_1 2" xfId="2396"/>
    <cellStyle name="ÅëÈ­ [0]_laroux_1 2" xfId="2397"/>
    <cellStyle name="AeE­ [0]_laroux_1 2 2" xfId="2398"/>
    <cellStyle name="ÅëÈ­ [0]_laroux_1 3" xfId="2399"/>
    <cellStyle name="AeE­ [0]_laroux_1 3 2" xfId="2400"/>
    <cellStyle name="ÅëÈ­ [0]_laroux_1 4" xfId="2401"/>
    <cellStyle name="AeE­ [0]_laroux_1 4 2" xfId="2402"/>
    <cellStyle name="ÅëÈ­ [0]_laroux_1 5" xfId="2403"/>
    <cellStyle name="AeE­ [0]_laroux_1 5 2" xfId="2404"/>
    <cellStyle name="ÅëÈ­ [0]_laroux_1 6" xfId="2405"/>
    <cellStyle name="AeE­ [0]_laroux_1 7" xfId="2406"/>
    <cellStyle name="ÅëÈ­ [0]_laroux_1 7" xfId="2407"/>
    <cellStyle name="AeE­ [0]_laroux_1 8" xfId="2408"/>
    <cellStyle name="ÅëÈ­ [0]_laroux_1 8" xfId="2409"/>
    <cellStyle name="AeE­ [0]_laroux_1 9" xfId="2410"/>
    <cellStyle name="ÅëÈ­ [0]_laroux_1 9" xfId="2411"/>
    <cellStyle name="AeE­ [0]_laroux_2" xfId="2412"/>
    <cellStyle name="ÅëÈ­ [0]_laroux_2" xfId="689"/>
    <cellStyle name="AeE­ [0]_laroux_3" xfId="690"/>
    <cellStyle name="ÅëÈ­ [0]_laroux_3" xfId="691"/>
    <cellStyle name="AeE­ [0]_laroux_3 10" xfId="692"/>
    <cellStyle name="ÅëÈ­ [0]_laroux_3 10" xfId="2413"/>
    <cellStyle name="AeE­ [0]_laroux_3 11" xfId="2414"/>
    <cellStyle name="ÅëÈ­ [0]_laroux_3 11" xfId="2415"/>
    <cellStyle name="AeE­ [0]_laroux_3 12" xfId="2416"/>
    <cellStyle name="ÅëÈ­ [0]_laroux_3 12" xfId="2417"/>
    <cellStyle name="AeE­ [0]_laroux_3 13" xfId="2418"/>
    <cellStyle name="ÅëÈ­ [0]_laroux_3 13" xfId="2419"/>
    <cellStyle name="AeE­ [0]_laroux_3 14" xfId="2420"/>
    <cellStyle name="ÅëÈ­ [0]_laroux_3 14" xfId="2421"/>
    <cellStyle name="AeE­ [0]_laroux_3 2" xfId="2422"/>
    <cellStyle name="ÅëÈ­ [0]_laroux_3 2" xfId="2423"/>
    <cellStyle name="AeE­ [0]_laroux_3 2 2" xfId="2424"/>
    <cellStyle name="ÅëÈ­ [0]_laroux_3 3" xfId="2425"/>
    <cellStyle name="AeE­ [0]_laroux_3 3 2" xfId="2426"/>
    <cellStyle name="ÅëÈ­ [0]_laroux_3 4" xfId="2427"/>
    <cellStyle name="AeE­ [0]_laroux_3 4 2" xfId="2428"/>
    <cellStyle name="ÅëÈ­ [0]_laroux_3 5" xfId="2429"/>
    <cellStyle name="AeE­ [0]_laroux_3 5 2" xfId="2430"/>
    <cellStyle name="ÅëÈ­ [0]_laroux_3 6" xfId="2431"/>
    <cellStyle name="AeE­ [0]_laroux_3 7" xfId="2432"/>
    <cellStyle name="ÅëÈ­ [0]_laroux_3 7" xfId="2433"/>
    <cellStyle name="AeE­ [0]_laroux_3 8" xfId="2434"/>
    <cellStyle name="ÅëÈ­ [0]_laroux_3 8" xfId="2435"/>
    <cellStyle name="AeE­ [0]_laroux_3 9" xfId="2436"/>
    <cellStyle name="ÅëÈ­ [0]_laroux_3 9" xfId="2437"/>
    <cellStyle name="AeE­ [0]_laroux_4" xfId="2438"/>
    <cellStyle name="ÅëÈ­ [0]_laroux_4" xfId="693"/>
    <cellStyle name="AeE­ [0]_laroux_5" xfId="694"/>
    <cellStyle name="ÅëÈ­ [0]_laroux_5" xfId="695"/>
    <cellStyle name="AeE­ [0]_MBO_0" xfId="696"/>
    <cellStyle name="ÅëÈ­ [0]_MBO_0" xfId="697"/>
    <cellStyle name="AeE­ [0]_MBO_0 10" xfId="698"/>
    <cellStyle name="ÅëÈ­ [0]_MBO_0 10" xfId="2439"/>
    <cellStyle name="AeE­ [0]_MBO_0 11" xfId="2440"/>
    <cellStyle name="ÅëÈ­ [0]_MBO_0 11" xfId="2441"/>
    <cellStyle name="AeE­ [0]_MBO_0 12" xfId="2442"/>
    <cellStyle name="ÅëÈ­ [0]_MBO_0 12" xfId="2443"/>
    <cellStyle name="AeE­ [0]_MBO_0 13" xfId="2444"/>
    <cellStyle name="ÅëÈ­ [0]_MBO_0 13" xfId="2445"/>
    <cellStyle name="AeE­ [0]_MBO_0 14" xfId="2446"/>
    <cellStyle name="ÅëÈ­ [0]_MBO_0 14" xfId="2447"/>
    <cellStyle name="AeE­ [0]_MBO_0 2" xfId="2448"/>
    <cellStyle name="ÅëÈ­ [0]_MBO_0 2" xfId="2449"/>
    <cellStyle name="AeE­ [0]_MBO_0 2 2" xfId="2450"/>
    <cellStyle name="ÅëÈ­ [0]_MBO_0 3" xfId="2451"/>
    <cellStyle name="AeE­ [0]_MBO_0 3 2" xfId="2452"/>
    <cellStyle name="ÅëÈ­ [0]_MBO_0 4" xfId="2453"/>
    <cellStyle name="AeE­ [0]_MBO_0 4 2" xfId="2454"/>
    <cellStyle name="ÅëÈ­ [0]_MBO_0 5" xfId="2455"/>
    <cellStyle name="AeE­ [0]_MBO_0 5 2" xfId="2456"/>
    <cellStyle name="ÅëÈ­ [0]_MBO_0 6" xfId="2457"/>
    <cellStyle name="AeE­ [0]_MBO_0 7" xfId="2458"/>
    <cellStyle name="ÅëÈ­ [0]_MBO_0 7" xfId="2459"/>
    <cellStyle name="AeE­ [0]_MBO_0 8" xfId="2460"/>
    <cellStyle name="ÅëÈ­ [0]_MBO_0 8" xfId="2461"/>
    <cellStyle name="AeE­ [0]_MBO_0 9" xfId="2462"/>
    <cellStyle name="ÅëÈ­ [0]_MBO_0 9" xfId="2463"/>
    <cellStyle name="AeE­ [0]_MBO96_1" xfId="2464"/>
    <cellStyle name="ÅëÈ­ [0]_MBO96_1" xfId="699"/>
    <cellStyle name="AeE­ [0]_MBO96_1 10" xfId="700"/>
    <cellStyle name="ÅëÈ­ [0]_MBO96_1 10" xfId="2465"/>
    <cellStyle name="AeE­ [0]_MBO96_1 11" xfId="2466"/>
    <cellStyle name="ÅëÈ­ [0]_MBO96_1 11" xfId="2467"/>
    <cellStyle name="AeE­ [0]_MBO96_1 12" xfId="2468"/>
    <cellStyle name="ÅëÈ­ [0]_MBO96_1 12" xfId="2469"/>
    <cellStyle name="AeE­ [0]_MBO96_1 13" xfId="2470"/>
    <cellStyle name="ÅëÈ­ [0]_MBO96_1 13" xfId="2471"/>
    <cellStyle name="AeE­ [0]_MBO96_1 14" xfId="2472"/>
    <cellStyle name="ÅëÈ­ [0]_MBO96_1 14" xfId="2473"/>
    <cellStyle name="AeE­ [0]_MBO96_1 2" xfId="2474"/>
    <cellStyle name="ÅëÈ­ [0]_MBO96_1 2" xfId="2475"/>
    <cellStyle name="AeE­ [0]_MBO96_1 2 2" xfId="2476"/>
    <cellStyle name="ÅëÈ­ [0]_MBO96_1 3" xfId="2477"/>
    <cellStyle name="AeE­ [0]_MBO96_1 3 2" xfId="2478"/>
    <cellStyle name="ÅëÈ­ [0]_MBO96_1 4" xfId="2479"/>
    <cellStyle name="AeE­ [0]_MBO96_1 4 2" xfId="2480"/>
    <cellStyle name="ÅëÈ­ [0]_MBO96_1 5" xfId="2481"/>
    <cellStyle name="AeE­ [0]_MBO96_1 5 2" xfId="2482"/>
    <cellStyle name="ÅëÈ­ [0]_MBO96_1 6" xfId="2483"/>
    <cellStyle name="AeE­ [0]_MBO96_1 7" xfId="2484"/>
    <cellStyle name="ÅëÈ­ [0]_MBO96_1 7" xfId="2485"/>
    <cellStyle name="AeE­ [0]_MBO96_1 8" xfId="2486"/>
    <cellStyle name="ÅëÈ­ [0]_MBO96_1 8" xfId="2487"/>
    <cellStyle name="AeE­ [0]_MBO96_1 9" xfId="2488"/>
    <cellStyle name="ÅëÈ­ [0]_MBO96_1 9" xfId="2489"/>
    <cellStyle name="AeE­_´e¼OAæ´c±Y" xfId="701"/>
    <cellStyle name="Åëè­_¸åãâ" xfId="702"/>
    <cellStyle name="AeE­_±aA¸" xfId="703"/>
    <cellStyle name="Åëè­_090608_업무보고서 개정_복호화(2)" xfId="704"/>
    <cellStyle name="AeE­_97MBO" xfId="705"/>
    <cellStyle name="ÅëÈ­_97MBO" xfId="706"/>
    <cellStyle name="AeE­_97MBO (2)" xfId="707"/>
    <cellStyle name="ÅëÈ­_97MBO (2)" xfId="708"/>
    <cellStyle name="AeE­_97MBO (2) 10" xfId="709"/>
    <cellStyle name="ÅëÈ­_97MBO (2) 10" xfId="2490"/>
    <cellStyle name="AeE­_97MBO (2) 11" xfId="2491"/>
    <cellStyle name="ÅëÈ­_97MBO (2) 11" xfId="2492"/>
    <cellStyle name="AeE­_97MBO (2) 12" xfId="2493"/>
    <cellStyle name="ÅëÈ­_97MBO (2) 12" xfId="2494"/>
    <cellStyle name="AeE­_97MBO (2) 13" xfId="2495"/>
    <cellStyle name="ÅëÈ­_97MBO (2) 13" xfId="2496"/>
    <cellStyle name="AeE­_97MBO (2) 14" xfId="2497"/>
    <cellStyle name="ÅëÈ­_97MBO (2) 14" xfId="2498"/>
    <cellStyle name="AeE­_97MBO (2) 2" xfId="2499"/>
    <cellStyle name="ÅëÈ­_97MBO (2) 2" xfId="2500"/>
    <cellStyle name="AeE­_97MBO (2) 2 2" xfId="2501"/>
    <cellStyle name="ÅëÈ­_97MBO (2) 3" xfId="2502"/>
    <cellStyle name="AeE­_97MBO (2) 3 2" xfId="2503"/>
    <cellStyle name="ÅëÈ­_97MBO (2) 4" xfId="2504"/>
    <cellStyle name="AeE­_97MBO (2) 4 2" xfId="2505"/>
    <cellStyle name="ÅëÈ­_97MBO (2) 5" xfId="2506"/>
    <cellStyle name="AeE­_97MBO (2) 5 2" xfId="2507"/>
    <cellStyle name="ÅëÈ­_97MBO (2) 6" xfId="2508"/>
    <cellStyle name="AeE­_97MBO (2) 7" xfId="2509"/>
    <cellStyle name="ÅëÈ­_97MBO (2) 7" xfId="2510"/>
    <cellStyle name="AeE­_97MBO (2) 8" xfId="2511"/>
    <cellStyle name="ÅëÈ­_97MBO (2) 8" xfId="2512"/>
    <cellStyle name="AeE­_97MBO (2) 9" xfId="2513"/>
    <cellStyle name="ÅëÈ­_97MBO (2) 9" xfId="2514"/>
    <cellStyle name="AeE­_97MBO 10" xfId="2515"/>
    <cellStyle name="ÅëÈ­_97MBO 10" xfId="2516"/>
    <cellStyle name="AeE­_97MBO 11" xfId="2517"/>
    <cellStyle name="ÅëÈ­_97MBO 11" xfId="2518"/>
    <cellStyle name="AeE­_97MBO 12" xfId="2519"/>
    <cellStyle name="ÅëÈ­_97MBO 12" xfId="2520"/>
    <cellStyle name="AeE­_97MBO 13" xfId="2521"/>
    <cellStyle name="ÅëÈ­_97MBO 13" xfId="2522"/>
    <cellStyle name="AeE­_97MBO 14" xfId="2523"/>
    <cellStyle name="ÅëÈ­_97MBO 14" xfId="2524"/>
    <cellStyle name="AeE­_97MBO 2" xfId="2525"/>
    <cellStyle name="ÅëÈ­_97MBO 2" xfId="2526"/>
    <cellStyle name="AeE­_97MBO 2 2" xfId="2527"/>
    <cellStyle name="ÅëÈ­_97MBO 3" xfId="2528"/>
    <cellStyle name="AeE­_97MBO 3 2" xfId="2529"/>
    <cellStyle name="ÅëÈ­_97MBO 4" xfId="2530"/>
    <cellStyle name="AeE­_97MBO 4 2" xfId="2531"/>
    <cellStyle name="ÅëÈ­_97MBO 5" xfId="2532"/>
    <cellStyle name="AeE­_97MBO 5 2" xfId="2533"/>
    <cellStyle name="ÅëÈ­_97MBO 6" xfId="2534"/>
    <cellStyle name="AeE­_97MBO 7" xfId="2535"/>
    <cellStyle name="ÅëÈ­_97MBO 7" xfId="2536"/>
    <cellStyle name="AeE­_97MBO 8" xfId="2537"/>
    <cellStyle name="ÅëÈ­_97MBO 8" xfId="2538"/>
    <cellStyle name="AeE­_97MBO 9" xfId="2539"/>
    <cellStyle name="ÅëÈ­_97MBO 9" xfId="2540"/>
    <cellStyle name="AeE­_A|Aa¿e" xfId="2541"/>
    <cellStyle name="ÅëÈ­_Á¦Ãâ¿ë" xfId="710"/>
    <cellStyle name="AeE­_Ao±C Project" xfId="711"/>
    <cellStyle name="ÅëÈ­_Áõ±Ç Project" xfId="712"/>
    <cellStyle name="AeE­_Ao±C Project 10" xfId="713"/>
    <cellStyle name="ÅëÈ­_Áõ±Ç Project 10" xfId="2542"/>
    <cellStyle name="AeE­_Ao±C Project 11" xfId="2543"/>
    <cellStyle name="ÅëÈ­_Áõ±Ç Project 11" xfId="2544"/>
    <cellStyle name="AeE­_Ao±C Project 12" xfId="2545"/>
    <cellStyle name="ÅëÈ­_Áõ±Ç Project 12" xfId="2546"/>
    <cellStyle name="AeE­_Ao±C Project 13" xfId="2547"/>
    <cellStyle name="ÅëÈ­_Áõ±Ç Project 13" xfId="2548"/>
    <cellStyle name="AeE­_Ao±C Project 14" xfId="2549"/>
    <cellStyle name="ÅëÈ­_Áõ±Ç Project 14" xfId="2550"/>
    <cellStyle name="AeE­_Ao±C Project 2" xfId="2551"/>
    <cellStyle name="ÅëÈ­_Áõ±Ç Project 2" xfId="2552"/>
    <cellStyle name="AeE­_Ao±C Project 2 2" xfId="2553"/>
    <cellStyle name="ÅëÈ­_Áõ±Ç Project 3" xfId="2554"/>
    <cellStyle name="AeE­_Ao±C Project 3 2" xfId="2555"/>
    <cellStyle name="ÅëÈ­_Áõ±Ç Project 4" xfId="2556"/>
    <cellStyle name="AeE­_Ao±C Project 4 2" xfId="2557"/>
    <cellStyle name="ÅëÈ­_Áõ±Ç Project 5" xfId="2558"/>
    <cellStyle name="AeE­_Ao±C Project 5 2" xfId="2559"/>
    <cellStyle name="ÅëÈ­_Áõ±Ç Project 6" xfId="2560"/>
    <cellStyle name="AeE­_Ao±C Project 7" xfId="2561"/>
    <cellStyle name="ÅëÈ­_Áõ±Ç Project 7" xfId="2562"/>
    <cellStyle name="AeE­_Ao±C Project 8" xfId="2563"/>
    <cellStyle name="ÅëÈ­_Áõ±Ç Project 8" xfId="2564"/>
    <cellStyle name="AeE­_Ao±C Project 9" xfId="2565"/>
    <cellStyle name="ÅëÈ­_Áõ±Ç Project 9" xfId="2566"/>
    <cellStyle name="AeE­_COºI project" xfId="2567"/>
    <cellStyle name="ÅëÈ­_ÇÒºÎ project" xfId="714"/>
    <cellStyle name="AeE­_COºI project 10" xfId="715"/>
    <cellStyle name="ÅëÈ­_ÇÒºÎ project 10" xfId="2568"/>
    <cellStyle name="AeE­_COºI project 11" xfId="2569"/>
    <cellStyle name="ÅëÈ­_ÇÒºÎ project 11" xfId="2570"/>
    <cellStyle name="AeE­_COºI project 12" xfId="2571"/>
    <cellStyle name="ÅëÈ­_ÇÒºÎ project 12" xfId="2572"/>
    <cellStyle name="AeE­_COºI project 13" xfId="2573"/>
    <cellStyle name="ÅëÈ­_ÇÒºÎ project 13" xfId="2574"/>
    <cellStyle name="AeE­_COºI project 14" xfId="2575"/>
    <cellStyle name="ÅëÈ­_ÇÒºÎ project 14" xfId="2576"/>
    <cellStyle name="AeE­_COºI project 2" xfId="2577"/>
    <cellStyle name="ÅëÈ­_ÇÒºÎ project 2" xfId="2578"/>
    <cellStyle name="AeE­_COºI project 2 2" xfId="2579"/>
    <cellStyle name="ÅëÈ­_ÇÒºÎ project 3" xfId="2580"/>
    <cellStyle name="AeE­_COºI project 3 2" xfId="2581"/>
    <cellStyle name="ÅëÈ­_ÇÒºÎ project 4" xfId="2582"/>
    <cellStyle name="AeE­_COºI project 4 2" xfId="2583"/>
    <cellStyle name="ÅëÈ­_ÇÒºÎ project 5" xfId="2584"/>
    <cellStyle name="AeE­_COºI project 5 2" xfId="2585"/>
    <cellStyle name="ÅëÈ­_ÇÒºÎ project 6" xfId="2586"/>
    <cellStyle name="AeE­_COºI project 7" xfId="2587"/>
    <cellStyle name="ÅëÈ­_ÇÒºÎ project 7" xfId="2588"/>
    <cellStyle name="AeE­_COºI project 8" xfId="2589"/>
    <cellStyle name="ÅëÈ­_ÇÒºÎ project 8" xfId="2590"/>
    <cellStyle name="AeE­_COºI project 9" xfId="2591"/>
    <cellStyle name="ÅëÈ­_ÇÒºÎ project 9" xfId="2592"/>
    <cellStyle name="AeE­_laroux" xfId="2593"/>
    <cellStyle name="ÅëÈ­_laroux" xfId="716"/>
    <cellStyle name="AeE­_laroux 10" xfId="2594"/>
    <cellStyle name="ÅëÈ­_laroux 10" xfId="2595"/>
    <cellStyle name="AeE­_laroux 11" xfId="2596"/>
    <cellStyle name="ÅëÈ­_laroux 11" xfId="2597"/>
    <cellStyle name="AeE­_laroux 12" xfId="2598"/>
    <cellStyle name="ÅëÈ­_laroux 12" xfId="2599"/>
    <cellStyle name="AeE­_laroux 13" xfId="2600"/>
    <cellStyle name="ÅëÈ­_laroux 13" xfId="2601"/>
    <cellStyle name="AeE­_laroux 14" xfId="2602"/>
    <cellStyle name="ÅëÈ­_laroux 14" xfId="2603"/>
    <cellStyle name="AeE­_laroux 2" xfId="717"/>
    <cellStyle name="ÅëÈ­_laroux 2" xfId="2604"/>
    <cellStyle name="AeE­_laroux 2 2" xfId="2605"/>
    <cellStyle name="ÅëÈ­_laroux 3" xfId="2606"/>
    <cellStyle name="AeE­_laroux 3 2" xfId="2607"/>
    <cellStyle name="ÅëÈ­_laroux 4" xfId="2608"/>
    <cellStyle name="AeE­_laroux 4 2" xfId="2609"/>
    <cellStyle name="ÅëÈ­_laroux 5" xfId="2610"/>
    <cellStyle name="AeE­_laroux 5 2" xfId="2611"/>
    <cellStyle name="ÅëÈ­_laroux 6" xfId="2612"/>
    <cellStyle name="AeE­_laroux 7" xfId="2613"/>
    <cellStyle name="ÅëÈ­_laroux 7" xfId="2614"/>
    <cellStyle name="AeE­_laroux 8" xfId="2615"/>
    <cellStyle name="ÅëÈ­_laroux 8" xfId="2616"/>
    <cellStyle name="AeE­_laroux 9" xfId="2617"/>
    <cellStyle name="ÅëÈ­_laroux 9" xfId="2618"/>
    <cellStyle name="AeE­_laroux_1" xfId="2619"/>
    <cellStyle name="ÅëÈ­_laroux_1" xfId="718"/>
    <cellStyle name="AeE­_laroux_1 10" xfId="719"/>
    <cellStyle name="ÅëÈ­_laroux_1 10" xfId="2620"/>
    <cellStyle name="AeE­_laroux_1 11" xfId="2621"/>
    <cellStyle name="ÅëÈ­_laroux_1 11" xfId="2622"/>
    <cellStyle name="AeE­_laroux_1 12" xfId="2623"/>
    <cellStyle name="ÅëÈ­_laroux_1 12" xfId="2624"/>
    <cellStyle name="AeE­_laroux_1 13" xfId="2625"/>
    <cellStyle name="ÅëÈ­_laroux_1 13" xfId="2626"/>
    <cellStyle name="AeE­_laroux_1 14" xfId="2627"/>
    <cellStyle name="ÅëÈ­_laroux_1 14" xfId="2628"/>
    <cellStyle name="AeE­_laroux_1 2" xfId="2629"/>
    <cellStyle name="ÅëÈ­_laroux_1 2" xfId="2630"/>
    <cellStyle name="AeE­_laroux_1 2 2" xfId="2631"/>
    <cellStyle name="ÅëÈ­_laroux_1 3" xfId="2632"/>
    <cellStyle name="AeE­_laroux_1 3 2" xfId="2633"/>
    <cellStyle name="ÅëÈ­_laroux_1 4" xfId="2634"/>
    <cellStyle name="AeE­_laroux_1 4 2" xfId="2635"/>
    <cellStyle name="ÅëÈ­_laroux_1 5" xfId="2636"/>
    <cellStyle name="AeE­_laroux_1 5 2" xfId="2637"/>
    <cellStyle name="ÅëÈ­_laroux_1 6" xfId="2638"/>
    <cellStyle name="AeE­_laroux_1 7" xfId="2639"/>
    <cellStyle name="ÅëÈ­_laroux_1 7" xfId="2640"/>
    <cellStyle name="AeE­_laroux_1 8" xfId="2641"/>
    <cellStyle name="ÅëÈ­_laroux_1 8" xfId="2642"/>
    <cellStyle name="AeE­_laroux_1 9" xfId="2643"/>
    <cellStyle name="ÅëÈ­_laroux_1 9" xfId="2644"/>
    <cellStyle name="AeE­_laroux_2" xfId="2645"/>
    <cellStyle name="ÅëÈ­_laroux_2" xfId="720"/>
    <cellStyle name="AeE­_laroux_3" xfId="721"/>
    <cellStyle name="ÅëÈ­_laroux_3" xfId="722"/>
    <cellStyle name="AeE­_laroux_3 10" xfId="723"/>
    <cellStyle name="ÅëÈ­_laroux_3 10" xfId="2646"/>
    <cellStyle name="AeE­_laroux_3 11" xfId="2647"/>
    <cellStyle name="ÅëÈ­_laroux_3 11" xfId="2648"/>
    <cellStyle name="AeE­_laroux_3 12" xfId="2649"/>
    <cellStyle name="ÅëÈ­_laroux_3 12" xfId="2650"/>
    <cellStyle name="AeE­_laroux_3 13" xfId="2651"/>
    <cellStyle name="ÅëÈ­_laroux_3 13" xfId="2652"/>
    <cellStyle name="AeE­_laroux_3 14" xfId="2653"/>
    <cellStyle name="ÅëÈ­_laroux_3 14" xfId="2654"/>
    <cellStyle name="AeE­_laroux_3 2" xfId="2655"/>
    <cellStyle name="ÅëÈ­_laroux_3 2" xfId="2656"/>
    <cellStyle name="AeE­_laroux_3 2 2" xfId="2657"/>
    <cellStyle name="ÅëÈ­_laroux_3 3" xfId="2658"/>
    <cellStyle name="AeE­_laroux_3 3 2" xfId="2659"/>
    <cellStyle name="ÅëÈ­_laroux_3 4" xfId="2660"/>
    <cellStyle name="AeE­_laroux_3 4 2" xfId="2661"/>
    <cellStyle name="ÅëÈ­_laroux_3 5" xfId="2662"/>
    <cellStyle name="AeE­_laroux_3 5 2" xfId="2663"/>
    <cellStyle name="ÅëÈ­_laroux_3 6" xfId="2664"/>
    <cellStyle name="AeE­_laroux_3 7" xfId="2665"/>
    <cellStyle name="ÅëÈ­_laroux_3 7" xfId="2666"/>
    <cellStyle name="AeE­_laroux_3 8" xfId="2667"/>
    <cellStyle name="ÅëÈ­_laroux_3 8" xfId="2668"/>
    <cellStyle name="AeE­_laroux_3 9" xfId="2669"/>
    <cellStyle name="ÅëÈ­_laroux_3 9" xfId="2670"/>
    <cellStyle name="AeE­_laroux_4" xfId="2671"/>
    <cellStyle name="ÅëÈ­_laroux_4" xfId="724"/>
    <cellStyle name="AeE­_laroux_5" xfId="725"/>
    <cellStyle name="ÅëÈ­_laroux_5" xfId="726"/>
    <cellStyle name="AeE­_MBO_0" xfId="727"/>
    <cellStyle name="ÅëÈ­_MBO_0" xfId="728"/>
    <cellStyle name="AeE­_MBO_0 10" xfId="729"/>
    <cellStyle name="ÅëÈ­_MBO_0 10" xfId="2672"/>
    <cellStyle name="AeE­_MBO_0 11" xfId="2673"/>
    <cellStyle name="ÅëÈ­_MBO_0 11" xfId="2674"/>
    <cellStyle name="AeE­_MBO_0 12" xfId="2675"/>
    <cellStyle name="ÅëÈ­_MBO_0 12" xfId="2676"/>
    <cellStyle name="AeE­_MBO_0 13" xfId="2677"/>
    <cellStyle name="ÅëÈ­_MBO_0 13" xfId="2678"/>
    <cellStyle name="AeE­_MBO_0 14" xfId="2679"/>
    <cellStyle name="ÅëÈ­_MBO_0 14" xfId="2680"/>
    <cellStyle name="AeE­_MBO_0 2" xfId="2681"/>
    <cellStyle name="ÅëÈ­_MBO_0 2" xfId="2682"/>
    <cellStyle name="AeE­_MBO_0 2 2" xfId="2683"/>
    <cellStyle name="ÅëÈ­_MBO_0 3" xfId="2684"/>
    <cellStyle name="AeE­_MBO_0 3 2" xfId="2685"/>
    <cellStyle name="ÅëÈ­_MBO_0 4" xfId="2686"/>
    <cellStyle name="AeE­_MBO_0 4 2" xfId="2687"/>
    <cellStyle name="ÅëÈ­_MBO_0 5" xfId="2688"/>
    <cellStyle name="AeE­_MBO_0 5 2" xfId="2689"/>
    <cellStyle name="ÅëÈ­_MBO_0 6" xfId="2690"/>
    <cellStyle name="AeE­_MBO_0 7" xfId="2691"/>
    <cellStyle name="ÅëÈ­_MBO_0 7" xfId="2692"/>
    <cellStyle name="AeE­_MBO_0 8" xfId="2693"/>
    <cellStyle name="ÅëÈ­_MBO_0 8" xfId="2694"/>
    <cellStyle name="AeE­_MBO_0 9" xfId="2695"/>
    <cellStyle name="ÅëÈ­_MBO_0 9" xfId="2696"/>
    <cellStyle name="AeE­_MBO96_1" xfId="2697"/>
    <cellStyle name="ÅëÈ­_MBO96_1" xfId="730"/>
    <cellStyle name="AeE­_MBO96_1 10" xfId="731"/>
    <cellStyle name="ÅëÈ­_MBO96_1 10" xfId="2698"/>
    <cellStyle name="AeE­_MBO96_1 11" xfId="2699"/>
    <cellStyle name="ÅëÈ­_MBO96_1 11" xfId="2700"/>
    <cellStyle name="AeE­_MBO96_1 12" xfId="2701"/>
    <cellStyle name="ÅëÈ­_MBO96_1 12" xfId="2702"/>
    <cellStyle name="AeE­_MBO96_1 13" xfId="2703"/>
    <cellStyle name="ÅëÈ­_MBO96_1 13" xfId="2704"/>
    <cellStyle name="AeE­_MBO96_1 14" xfId="2705"/>
    <cellStyle name="ÅëÈ­_MBO96_1 14" xfId="2706"/>
    <cellStyle name="AeE­_MBO96_1 2" xfId="2707"/>
    <cellStyle name="ÅëÈ­_MBO96_1 2" xfId="2708"/>
    <cellStyle name="AeE­_MBO96_1 2 2" xfId="2709"/>
    <cellStyle name="ÅëÈ­_MBO96_1 3" xfId="2710"/>
    <cellStyle name="AeE­_MBO96_1 3 2" xfId="2711"/>
    <cellStyle name="ÅëÈ­_MBO96_1 4" xfId="2712"/>
    <cellStyle name="AeE­_MBO96_1 4 2" xfId="2713"/>
    <cellStyle name="ÅëÈ­_MBO96_1 5" xfId="2714"/>
    <cellStyle name="AeE­_MBO96_1 5 2" xfId="2715"/>
    <cellStyle name="ÅëÈ­_MBO96_1 6" xfId="2716"/>
    <cellStyle name="AeE­_MBO96_1 7" xfId="2717"/>
    <cellStyle name="ÅëÈ­_MBO96_1 7" xfId="2718"/>
    <cellStyle name="AeE­_MBO96_1 8" xfId="2719"/>
    <cellStyle name="ÅëÈ­_MBO96_1 8" xfId="2720"/>
    <cellStyle name="AeE­_MBO96_1 9" xfId="2721"/>
    <cellStyle name="ÅëÈ­_MBO96_1 9" xfId="2722"/>
    <cellStyle name="ALIGNMENT" xfId="732"/>
    <cellStyle name="Arial 10" xfId="733"/>
    <cellStyle name="Arial 12" xfId="734"/>
    <cellStyle name="Äþ¸¶" xfId="735"/>
    <cellStyle name="Äþ¸¶ [0]" xfId="736"/>
    <cellStyle name="AÞ¸¶ [0]_±aA¸" xfId="737"/>
    <cellStyle name="Äþ¸¶ [0]_090608_업무보고서 개정_복호화(2)" xfId="738"/>
    <cellStyle name="AÞ¸¶ [0]_97MBO (2)" xfId="739"/>
    <cellStyle name="ÄÞ¸¶ [0]_97MBO (2)" xfId="740"/>
    <cellStyle name="AÞ¸¶ [0]_97MBO (2) 10" xfId="741"/>
    <cellStyle name="ÄÞ¸¶ [0]_97MBO (2) 10" xfId="2723"/>
    <cellStyle name="AÞ¸¶ [0]_97MBO (2) 11" xfId="2724"/>
    <cellStyle name="ÄÞ¸¶ [0]_97MBO (2) 11" xfId="2725"/>
    <cellStyle name="AÞ¸¶ [0]_97MBO (2) 12" xfId="2726"/>
    <cellStyle name="ÄÞ¸¶ [0]_97MBO (2) 12" xfId="2727"/>
    <cellStyle name="AÞ¸¶ [0]_97MBO (2) 13" xfId="2728"/>
    <cellStyle name="ÄÞ¸¶ [0]_97MBO (2) 13" xfId="2729"/>
    <cellStyle name="AÞ¸¶ [0]_97MBO (2) 14" xfId="2730"/>
    <cellStyle name="ÄÞ¸¶ [0]_97MBO (2) 14" xfId="2731"/>
    <cellStyle name="AÞ¸¶ [0]_97MBO (2) 2" xfId="2732"/>
    <cellStyle name="ÄÞ¸¶ [0]_97MBO (2) 2" xfId="2733"/>
    <cellStyle name="AÞ¸¶ [0]_97MBO (2) 2 2" xfId="2734"/>
    <cellStyle name="ÄÞ¸¶ [0]_97MBO (2) 3" xfId="2735"/>
    <cellStyle name="AÞ¸¶ [0]_97MBO (2) 3 2" xfId="2736"/>
    <cellStyle name="ÄÞ¸¶ [0]_97MBO (2) 4" xfId="2737"/>
    <cellStyle name="AÞ¸¶ [0]_97MBO (2) 4 2" xfId="2738"/>
    <cellStyle name="ÄÞ¸¶ [0]_97MBO (2) 5" xfId="2739"/>
    <cellStyle name="AÞ¸¶ [0]_97MBO (2) 5 2" xfId="2740"/>
    <cellStyle name="ÄÞ¸¶ [0]_97MBO (2) 6" xfId="2741"/>
    <cellStyle name="AÞ¸¶ [0]_97MBO (2) 7" xfId="2742"/>
    <cellStyle name="ÄÞ¸¶ [0]_97MBO (2) 7" xfId="2743"/>
    <cellStyle name="AÞ¸¶ [0]_97MBO (2) 8" xfId="2744"/>
    <cellStyle name="ÄÞ¸¶ [0]_97MBO (2) 8" xfId="2745"/>
    <cellStyle name="AÞ¸¶ [0]_97MBO (2) 9" xfId="2746"/>
    <cellStyle name="ÄÞ¸¶ [0]_97MBO (2) 9" xfId="2747"/>
    <cellStyle name="AÞ¸¶ [0]_Ao±C Project" xfId="2748"/>
    <cellStyle name="ÄÞ¸¶ [0]_Áõ±Ç Project" xfId="742"/>
    <cellStyle name="AÞ¸¶ [0]_Ao±C Project 10" xfId="743"/>
    <cellStyle name="ÄÞ¸¶ [0]_Áõ±Ç Project 10" xfId="2749"/>
    <cellStyle name="AÞ¸¶ [0]_Ao±C Project 11" xfId="2750"/>
    <cellStyle name="ÄÞ¸¶ [0]_Áõ±Ç Project 11" xfId="2751"/>
    <cellStyle name="AÞ¸¶ [0]_Ao±C Project 12" xfId="2752"/>
    <cellStyle name="ÄÞ¸¶ [0]_Áõ±Ç Project 12" xfId="2753"/>
    <cellStyle name="AÞ¸¶ [0]_Ao±C Project 13" xfId="2754"/>
    <cellStyle name="ÄÞ¸¶ [0]_Áõ±Ç Project 13" xfId="2755"/>
    <cellStyle name="AÞ¸¶ [0]_Ao±C Project 14" xfId="2756"/>
    <cellStyle name="ÄÞ¸¶ [0]_Áõ±Ç Project 14" xfId="2757"/>
    <cellStyle name="AÞ¸¶ [0]_Ao±C Project 2" xfId="2758"/>
    <cellStyle name="ÄÞ¸¶ [0]_Áõ±Ç Project 2" xfId="2759"/>
    <cellStyle name="AÞ¸¶ [0]_Ao±C Project 2 2" xfId="2760"/>
    <cellStyle name="ÄÞ¸¶ [0]_Áõ±Ç Project 3" xfId="2761"/>
    <cellStyle name="AÞ¸¶ [0]_Ao±C Project 3 2" xfId="2762"/>
    <cellStyle name="ÄÞ¸¶ [0]_Áõ±Ç Project 4" xfId="2763"/>
    <cellStyle name="AÞ¸¶ [0]_Ao±C Project 4 2" xfId="2764"/>
    <cellStyle name="ÄÞ¸¶ [0]_Áõ±Ç Project 5" xfId="2765"/>
    <cellStyle name="AÞ¸¶ [0]_Ao±C Project 5 2" xfId="2766"/>
    <cellStyle name="ÄÞ¸¶ [0]_Áõ±Ç Project 6" xfId="2767"/>
    <cellStyle name="AÞ¸¶ [0]_Ao±C Project 7" xfId="2768"/>
    <cellStyle name="ÄÞ¸¶ [0]_Áõ±Ç Project 7" xfId="2769"/>
    <cellStyle name="AÞ¸¶ [0]_Ao±C Project 8" xfId="2770"/>
    <cellStyle name="ÄÞ¸¶ [0]_Áõ±Ç Project 8" xfId="2771"/>
    <cellStyle name="AÞ¸¶ [0]_Ao±C Project 9" xfId="2772"/>
    <cellStyle name="ÄÞ¸¶ [0]_Áõ±Ç Project 9" xfId="2773"/>
    <cellStyle name="AÞ¸¶ [0]_COºI project" xfId="2774"/>
    <cellStyle name="ÄÞ¸¶ [0]_ÇÒºÎ project" xfId="744"/>
    <cellStyle name="AÞ¸¶ [0]_COºI project 10" xfId="745"/>
    <cellStyle name="ÄÞ¸¶ [0]_ÇÒºÎ project 10" xfId="2775"/>
    <cellStyle name="AÞ¸¶ [0]_COºI project 11" xfId="2776"/>
    <cellStyle name="ÄÞ¸¶ [0]_ÇÒºÎ project 11" xfId="2777"/>
    <cellStyle name="AÞ¸¶ [0]_COºI project 12" xfId="2778"/>
    <cellStyle name="ÄÞ¸¶ [0]_ÇÒºÎ project 12" xfId="2779"/>
    <cellStyle name="AÞ¸¶ [0]_COºI project 13" xfId="2780"/>
    <cellStyle name="ÄÞ¸¶ [0]_ÇÒºÎ project 13" xfId="2781"/>
    <cellStyle name="AÞ¸¶ [0]_COºI project 14" xfId="2782"/>
    <cellStyle name="ÄÞ¸¶ [0]_ÇÒºÎ project 14" xfId="2783"/>
    <cellStyle name="AÞ¸¶ [0]_COºI project 2" xfId="2784"/>
    <cellStyle name="ÄÞ¸¶ [0]_ÇÒºÎ project 2" xfId="2785"/>
    <cellStyle name="AÞ¸¶ [0]_COºI project 2 2" xfId="2786"/>
    <cellStyle name="ÄÞ¸¶ [0]_ÇÒºÎ project 3" xfId="2787"/>
    <cellStyle name="AÞ¸¶ [0]_COºI project 3 2" xfId="2788"/>
    <cellStyle name="ÄÞ¸¶ [0]_ÇÒºÎ project 4" xfId="2789"/>
    <cellStyle name="AÞ¸¶ [0]_COºI project 4 2" xfId="2790"/>
    <cellStyle name="ÄÞ¸¶ [0]_ÇÒºÎ project 5" xfId="2791"/>
    <cellStyle name="AÞ¸¶ [0]_COºI project 5 2" xfId="2792"/>
    <cellStyle name="ÄÞ¸¶ [0]_ÇÒºÎ project 6" xfId="2793"/>
    <cellStyle name="AÞ¸¶ [0]_COºI project 7" xfId="2794"/>
    <cellStyle name="ÄÞ¸¶ [0]_ÇÒºÎ project 7" xfId="2795"/>
    <cellStyle name="AÞ¸¶ [0]_COºI project 8" xfId="2796"/>
    <cellStyle name="ÄÞ¸¶ [0]_ÇÒºÎ project 8" xfId="2797"/>
    <cellStyle name="AÞ¸¶ [0]_COºI project 9" xfId="2798"/>
    <cellStyle name="ÄÞ¸¶ [0]_ÇÒºÎ project 9" xfId="2799"/>
    <cellStyle name="AÞ¸¶ [0]_laroux" xfId="2800"/>
    <cellStyle name="ÄÞ¸¶ [0]_laroux" xfId="746"/>
    <cellStyle name="AÞ¸¶ [0]_laroux 10" xfId="2801"/>
    <cellStyle name="ÄÞ¸¶ [0]_laroux 10" xfId="2802"/>
    <cellStyle name="AÞ¸¶ [0]_laroux 11" xfId="2803"/>
    <cellStyle name="ÄÞ¸¶ [0]_laroux 11" xfId="2804"/>
    <cellStyle name="AÞ¸¶ [0]_laroux 12" xfId="2805"/>
    <cellStyle name="ÄÞ¸¶ [0]_laroux 12" xfId="2806"/>
    <cellStyle name="AÞ¸¶ [0]_laroux 13" xfId="2807"/>
    <cellStyle name="ÄÞ¸¶ [0]_laroux 13" xfId="2808"/>
    <cellStyle name="AÞ¸¶ [0]_laroux 14" xfId="2809"/>
    <cellStyle name="ÄÞ¸¶ [0]_laroux 14" xfId="2810"/>
    <cellStyle name="AÞ¸¶ [0]_laroux 2" xfId="747"/>
    <cellStyle name="ÄÞ¸¶ [0]_laroux 2" xfId="2811"/>
    <cellStyle name="AÞ¸¶ [0]_laroux 2 2" xfId="2812"/>
    <cellStyle name="ÄÞ¸¶ [0]_laroux 3" xfId="2813"/>
    <cellStyle name="AÞ¸¶ [0]_laroux 3 2" xfId="2814"/>
    <cellStyle name="ÄÞ¸¶ [0]_laroux 4" xfId="2815"/>
    <cellStyle name="AÞ¸¶ [0]_laroux 4 2" xfId="2816"/>
    <cellStyle name="ÄÞ¸¶ [0]_laroux 5" xfId="2817"/>
    <cellStyle name="AÞ¸¶ [0]_laroux 5 2" xfId="2818"/>
    <cellStyle name="ÄÞ¸¶ [0]_laroux 6" xfId="2819"/>
    <cellStyle name="AÞ¸¶ [0]_laroux 7" xfId="2820"/>
    <cellStyle name="ÄÞ¸¶ [0]_laroux 7" xfId="2821"/>
    <cellStyle name="AÞ¸¶ [0]_laroux 8" xfId="2822"/>
    <cellStyle name="ÄÞ¸¶ [0]_laroux 8" xfId="2823"/>
    <cellStyle name="AÞ¸¶ [0]_laroux 9" xfId="2824"/>
    <cellStyle name="ÄÞ¸¶ [0]_laroux 9" xfId="2825"/>
    <cellStyle name="AÞ¸¶ [0]_laroux_1" xfId="2826"/>
    <cellStyle name="ÄÞ¸¶ [0]_laroux_1" xfId="748"/>
    <cellStyle name="AÞ¸¶ [0]_laroux_2" xfId="749"/>
    <cellStyle name="ÄÞ¸¶ [0]_laroux_2" xfId="750"/>
    <cellStyle name="AÞ¸¶ [0]_laroux_2 10" xfId="751"/>
    <cellStyle name="ÄÞ¸¶ [0]_laroux_2 10" xfId="2827"/>
    <cellStyle name="AÞ¸¶ [0]_laroux_2 11" xfId="2828"/>
    <cellStyle name="ÄÞ¸¶ [0]_laroux_2 11" xfId="2829"/>
    <cellStyle name="AÞ¸¶ [0]_laroux_2 12" xfId="2830"/>
    <cellStyle name="ÄÞ¸¶ [0]_laroux_2 12" xfId="2831"/>
    <cellStyle name="AÞ¸¶ [0]_laroux_2 13" xfId="2832"/>
    <cellStyle name="ÄÞ¸¶ [0]_laroux_2 13" xfId="2833"/>
    <cellStyle name="AÞ¸¶ [0]_laroux_2 14" xfId="2834"/>
    <cellStyle name="ÄÞ¸¶ [0]_laroux_2 14" xfId="2835"/>
    <cellStyle name="AÞ¸¶ [0]_laroux_2 2" xfId="2836"/>
    <cellStyle name="ÄÞ¸¶ [0]_laroux_2 2" xfId="2837"/>
    <cellStyle name="AÞ¸¶ [0]_laroux_2 2 2" xfId="2838"/>
    <cellStyle name="ÄÞ¸¶ [0]_laroux_2 3" xfId="2839"/>
    <cellStyle name="AÞ¸¶ [0]_laroux_2 3 2" xfId="2840"/>
    <cellStyle name="ÄÞ¸¶ [0]_laroux_2 4" xfId="2841"/>
    <cellStyle name="AÞ¸¶ [0]_laroux_2 4 2" xfId="2842"/>
    <cellStyle name="ÄÞ¸¶ [0]_laroux_2 5" xfId="2843"/>
    <cellStyle name="AÞ¸¶ [0]_laroux_2 5 2" xfId="2844"/>
    <cellStyle name="ÄÞ¸¶ [0]_laroux_2 6" xfId="2845"/>
    <cellStyle name="AÞ¸¶ [0]_laroux_2 7" xfId="2846"/>
    <cellStyle name="ÄÞ¸¶ [0]_laroux_2 7" xfId="2847"/>
    <cellStyle name="AÞ¸¶ [0]_laroux_2 8" xfId="2848"/>
    <cellStyle name="ÄÞ¸¶ [0]_laroux_2 8" xfId="2849"/>
    <cellStyle name="AÞ¸¶ [0]_laroux_2 9" xfId="2850"/>
    <cellStyle name="ÄÞ¸¶ [0]_laroux_2 9" xfId="2851"/>
    <cellStyle name="AÞ¸¶ [0]_laroux_3" xfId="2852"/>
    <cellStyle name="ÄÞ¸¶ [0]_laroux_3" xfId="752"/>
    <cellStyle name="AÞ¸¶ [0]_MBO_0" xfId="753"/>
    <cellStyle name="ÄÞ¸¶ [0]_MBO_0" xfId="754"/>
    <cellStyle name="AÞ¸¶ [0]_MBO_0 10" xfId="755"/>
    <cellStyle name="ÄÞ¸¶ [0]_MBO_0 10" xfId="2853"/>
    <cellStyle name="AÞ¸¶ [0]_MBO_0 11" xfId="2854"/>
    <cellStyle name="ÄÞ¸¶ [0]_MBO_0 11" xfId="2855"/>
    <cellStyle name="AÞ¸¶ [0]_MBO_0 12" xfId="2856"/>
    <cellStyle name="ÄÞ¸¶ [0]_MBO_0 12" xfId="2857"/>
    <cellStyle name="AÞ¸¶ [0]_MBO_0 13" xfId="2858"/>
    <cellStyle name="ÄÞ¸¶ [0]_MBO_0 13" xfId="2859"/>
    <cellStyle name="AÞ¸¶ [0]_MBO_0 14" xfId="2860"/>
    <cellStyle name="ÄÞ¸¶ [0]_MBO_0 14" xfId="2861"/>
    <cellStyle name="AÞ¸¶ [0]_MBO_0 2" xfId="2862"/>
    <cellStyle name="ÄÞ¸¶ [0]_MBO_0 2" xfId="2863"/>
    <cellStyle name="AÞ¸¶ [0]_MBO_0 2 2" xfId="2864"/>
    <cellStyle name="ÄÞ¸¶ [0]_MBO_0 3" xfId="2865"/>
    <cellStyle name="AÞ¸¶ [0]_MBO_0 3 2" xfId="2866"/>
    <cellStyle name="ÄÞ¸¶ [0]_MBO_0 4" xfId="2867"/>
    <cellStyle name="AÞ¸¶ [0]_MBO_0 4 2" xfId="2868"/>
    <cellStyle name="ÄÞ¸¶ [0]_MBO_0 5" xfId="2869"/>
    <cellStyle name="AÞ¸¶ [0]_MBO_0 5 2" xfId="2870"/>
    <cellStyle name="ÄÞ¸¶ [0]_MBO_0 6" xfId="2871"/>
    <cellStyle name="AÞ¸¶ [0]_MBO_0 7" xfId="2872"/>
    <cellStyle name="ÄÞ¸¶ [0]_MBO_0 7" xfId="2873"/>
    <cellStyle name="AÞ¸¶ [0]_MBO_0 8" xfId="2874"/>
    <cellStyle name="ÄÞ¸¶ [0]_MBO_0 8" xfId="2875"/>
    <cellStyle name="AÞ¸¶ [0]_MBO_0 9" xfId="2876"/>
    <cellStyle name="ÄÞ¸¶ [0]_MBO_0 9" xfId="2877"/>
    <cellStyle name="AÞ¸¶ [0]_MBO96_1" xfId="2878"/>
    <cellStyle name="ÄÞ¸¶ [0]_MBO96_1" xfId="756"/>
    <cellStyle name="AÞ¸¶ [0]_MBO96_1 10" xfId="757"/>
    <cellStyle name="ÄÞ¸¶ [0]_MBO96_1 10" xfId="2879"/>
    <cellStyle name="AÞ¸¶ [0]_MBO96_1 11" xfId="2880"/>
    <cellStyle name="ÄÞ¸¶ [0]_MBO96_1 11" xfId="2881"/>
    <cellStyle name="AÞ¸¶ [0]_MBO96_1 12" xfId="2882"/>
    <cellStyle name="ÄÞ¸¶ [0]_MBO96_1 12" xfId="2883"/>
    <cellStyle name="AÞ¸¶ [0]_MBO96_1 13" xfId="2884"/>
    <cellStyle name="ÄÞ¸¶ [0]_MBO96_1 13" xfId="2885"/>
    <cellStyle name="AÞ¸¶ [0]_MBO96_1 14" xfId="2886"/>
    <cellStyle name="ÄÞ¸¶ [0]_MBO96_1 14" xfId="2887"/>
    <cellStyle name="AÞ¸¶ [0]_MBO96_1 2" xfId="2888"/>
    <cellStyle name="ÄÞ¸¶ [0]_MBO96_1 2" xfId="2889"/>
    <cellStyle name="AÞ¸¶ [0]_MBO96_1 2 2" xfId="2890"/>
    <cellStyle name="ÄÞ¸¶ [0]_MBO96_1 3" xfId="2891"/>
    <cellStyle name="AÞ¸¶ [0]_MBO96_1 3 2" xfId="2892"/>
    <cellStyle name="ÄÞ¸¶ [0]_MBO96_1 4" xfId="2893"/>
    <cellStyle name="AÞ¸¶ [0]_MBO96_1 4 2" xfId="2894"/>
    <cellStyle name="ÄÞ¸¶ [0]_MBO96_1 5" xfId="2895"/>
    <cellStyle name="AÞ¸¶ [0]_MBO96_1 5 2" xfId="2896"/>
    <cellStyle name="ÄÞ¸¶ [0]_MBO96_1 6" xfId="2897"/>
    <cellStyle name="AÞ¸¶ [0]_MBO96_1 7" xfId="2898"/>
    <cellStyle name="ÄÞ¸¶ [0]_MBO96_1 7" xfId="2899"/>
    <cellStyle name="AÞ¸¶ [0]_MBO96_1 8" xfId="2900"/>
    <cellStyle name="ÄÞ¸¶ [0]_MBO96_1 8" xfId="2901"/>
    <cellStyle name="AÞ¸¶ [0]_MBO96_1 9" xfId="2902"/>
    <cellStyle name="ÄÞ¸¶ [0]_MBO96_1 9" xfId="2903"/>
    <cellStyle name="Äþ¸¶_¸åãâ" xfId="758"/>
    <cellStyle name="AÞ¸¶_±aA¸" xfId="759"/>
    <cellStyle name="Äþ¸¶_090608_업무보고서 개정_복호화(2)" xfId="760"/>
    <cellStyle name="AÞ¸¶_¾ÆA§AU¾÷" xfId="761"/>
    <cellStyle name="ÄÞ¸¶_97MBO" xfId="762"/>
    <cellStyle name="AÞ¸¶_97MBO (2)" xfId="763"/>
    <cellStyle name="ÄÞ¸¶_97MBO (2)" xfId="764"/>
    <cellStyle name="AÞ¸¶_97MBO (2) 10" xfId="765"/>
    <cellStyle name="ÄÞ¸¶_97MBO (2) 10" xfId="2904"/>
    <cellStyle name="AÞ¸¶_97MBO (2) 11" xfId="2905"/>
    <cellStyle name="ÄÞ¸¶_97MBO (2) 11" xfId="2906"/>
    <cellStyle name="AÞ¸¶_97MBO (2) 12" xfId="2907"/>
    <cellStyle name="ÄÞ¸¶_97MBO (2) 12" xfId="2908"/>
    <cellStyle name="AÞ¸¶_97MBO (2) 13" xfId="2909"/>
    <cellStyle name="ÄÞ¸¶_97MBO (2) 13" xfId="2910"/>
    <cellStyle name="AÞ¸¶_97MBO (2) 14" xfId="2911"/>
    <cellStyle name="ÄÞ¸¶_97MBO (2) 14" xfId="2912"/>
    <cellStyle name="AÞ¸¶_97MBO (2) 2" xfId="2913"/>
    <cellStyle name="ÄÞ¸¶_97MBO (2) 2" xfId="2914"/>
    <cellStyle name="AÞ¸¶_97MBO (2) 2 2" xfId="2915"/>
    <cellStyle name="ÄÞ¸¶_97MBO (2) 3" xfId="2916"/>
    <cellStyle name="AÞ¸¶_97MBO (2) 3 2" xfId="2917"/>
    <cellStyle name="ÄÞ¸¶_97MBO (2) 4" xfId="2918"/>
    <cellStyle name="AÞ¸¶_97MBO (2) 4 2" xfId="2919"/>
    <cellStyle name="ÄÞ¸¶_97MBO (2) 5" xfId="2920"/>
    <cellStyle name="AÞ¸¶_97MBO (2) 5 2" xfId="2921"/>
    <cellStyle name="ÄÞ¸¶_97MBO (2) 6" xfId="2922"/>
    <cellStyle name="AÞ¸¶_97MBO (2) 7" xfId="2923"/>
    <cellStyle name="ÄÞ¸¶_97MBO (2) 7" xfId="2924"/>
    <cellStyle name="AÞ¸¶_97MBO (2) 8" xfId="2925"/>
    <cellStyle name="ÄÞ¸¶_97MBO (2) 8" xfId="2926"/>
    <cellStyle name="AÞ¸¶_97MBO (2) 9" xfId="2927"/>
    <cellStyle name="ÄÞ¸¶_97MBO (2) 9" xfId="2928"/>
    <cellStyle name="AÞ¸¶_A|Aa¿e" xfId="2929"/>
    <cellStyle name="ÄÞ¸¶_Á¦Ãâ¿ë" xfId="766"/>
    <cellStyle name="AÞ¸¶_Ao±C Project" xfId="767"/>
    <cellStyle name="ÄÞ¸¶_Áõ±Ç Project" xfId="768"/>
    <cellStyle name="AÞ¸¶_Ao±C Project 10" xfId="769"/>
    <cellStyle name="ÄÞ¸¶_Áõ±Ç Project 10" xfId="2930"/>
    <cellStyle name="AÞ¸¶_Ao±C Project 11" xfId="2931"/>
    <cellStyle name="ÄÞ¸¶_Áõ±Ç Project 11" xfId="2932"/>
    <cellStyle name="AÞ¸¶_Ao±C Project 12" xfId="2933"/>
    <cellStyle name="ÄÞ¸¶_Áõ±Ç Project 12" xfId="2934"/>
    <cellStyle name="AÞ¸¶_Ao±C Project 13" xfId="2935"/>
    <cellStyle name="ÄÞ¸¶_Áõ±Ç Project 13" xfId="2936"/>
    <cellStyle name="AÞ¸¶_Ao±C Project 14" xfId="2937"/>
    <cellStyle name="ÄÞ¸¶_Áõ±Ç Project 14" xfId="2938"/>
    <cellStyle name="AÞ¸¶_Ao±C Project 2" xfId="2939"/>
    <cellStyle name="ÄÞ¸¶_Áõ±Ç Project 2" xfId="2940"/>
    <cellStyle name="AÞ¸¶_Ao±C Project 2 2" xfId="2941"/>
    <cellStyle name="ÄÞ¸¶_Áõ±Ç Project 3" xfId="2942"/>
    <cellStyle name="AÞ¸¶_Ao±C Project 3 2" xfId="2943"/>
    <cellStyle name="ÄÞ¸¶_Áõ±Ç Project 4" xfId="2944"/>
    <cellStyle name="AÞ¸¶_Ao±C Project 4 2" xfId="2945"/>
    <cellStyle name="ÄÞ¸¶_Áõ±Ç Project 5" xfId="2946"/>
    <cellStyle name="AÞ¸¶_Ao±C Project 5 2" xfId="2947"/>
    <cellStyle name="ÄÞ¸¶_Áõ±Ç Project 6" xfId="2948"/>
    <cellStyle name="AÞ¸¶_Ao±C Project 7" xfId="2949"/>
    <cellStyle name="ÄÞ¸¶_Áõ±Ç Project 7" xfId="2950"/>
    <cellStyle name="AÞ¸¶_Ao±C Project 8" xfId="2951"/>
    <cellStyle name="ÄÞ¸¶_Áõ±Ç Project 8" xfId="2952"/>
    <cellStyle name="AÞ¸¶_Ao±C Project 9" xfId="2953"/>
    <cellStyle name="ÄÞ¸¶_Áõ±Ç Project 9" xfId="2954"/>
    <cellStyle name="AÞ¸¶_COºI project" xfId="2955"/>
    <cellStyle name="ÄÞ¸¶_ÇÒºÎ project" xfId="770"/>
    <cellStyle name="AÞ¸¶_COºI project 10" xfId="771"/>
    <cellStyle name="ÄÞ¸¶_ÇÒºÎ project 10" xfId="2956"/>
    <cellStyle name="AÞ¸¶_COºI project 11" xfId="2957"/>
    <cellStyle name="ÄÞ¸¶_ÇÒºÎ project 11" xfId="2958"/>
    <cellStyle name="AÞ¸¶_COºI project 12" xfId="2959"/>
    <cellStyle name="ÄÞ¸¶_ÇÒºÎ project 12" xfId="2960"/>
    <cellStyle name="AÞ¸¶_COºI project 13" xfId="2961"/>
    <cellStyle name="ÄÞ¸¶_ÇÒºÎ project 13" xfId="2962"/>
    <cellStyle name="AÞ¸¶_COºI project 14" xfId="2963"/>
    <cellStyle name="ÄÞ¸¶_ÇÒºÎ project 14" xfId="2964"/>
    <cellStyle name="AÞ¸¶_COºI project 2" xfId="2965"/>
    <cellStyle name="ÄÞ¸¶_ÇÒºÎ project 2" xfId="2966"/>
    <cellStyle name="AÞ¸¶_COºI project 2 2" xfId="2967"/>
    <cellStyle name="ÄÞ¸¶_ÇÒºÎ project 3" xfId="2968"/>
    <cellStyle name="AÞ¸¶_COºI project 3 2" xfId="2969"/>
    <cellStyle name="ÄÞ¸¶_ÇÒºÎ project 4" xfId="2970"/>
    <cellStyle name="AÞ¸¶_COºI project 4 2" xfId="2971"/>
    <cellStyle name="ÄÞ¸¶_ÇÒºÎ project 5" xfId="2972"/>
    <cellStyle name="AÞ¸¶_COºI project 5 2" xfId="2973"/>
    <cellStyle name="ÄÞ¸¶_ÇÒºÎ project 6" xfId="2974"/>
    <cellStyle name="AÞ¸¶_COºI project 7" xfId="2975"/>
    <cellStyle name="ÄÞ¸¶_ÇÒºÎ project 7" xfId="2976"/>
    <cellStyle name="AÞ¸¶_COºI project 8" xfId="2977"/>
    <cellStyle name="ÄÞ¸¶_ÇÒºÎ project 8" xfId="2978"/>
    <cellStyle name="AÞ¸¶_COºI project 9" xfId="2979"/>
    <cellStyle name="ÄÞ¸¶_ÇÒºÎ project 9" xfId="2980"/>
    <cellStyle name="AÞ¸¶_laroux" xfId="2981"/>
    <cellStyle name="ÄÞ¸¶_laroux" xfId="772"/>
    <cellStyle name="AÞ¸¶_laroux 10" xfId="2982"/>
    <cellStyle name="ÄÞ¸¶_laroux 10" xfId="2983"/>
    <cellStyle name="AÞ¸¶_laroux 11" xfId="2984"/>
    <cellStyle name="ÄÞ¸¶_laroux 11" xfId="2985"/>
    <cellStyle name="AÞ¸¶_laroux 12" xfId="2986"/>
    <cellStyle name="ÄÞ¸¶_laroux 12" xfId="2987"/>
    <cellStyle name="AÞ¸¶_laroux 13" xfId="2988"/>
    <cellStyle name="ÄÞ¸¶_laroux 13" xfId="2989"/>
    <cellStyle name="AÞ¸¶_laroux 14" xfId="2990"/>
    <cellStyle name="ÄÞ¸¶_laroux 14" xfId="2991"/>
    <cellStyle name="AÞ¸¶_laroux 2" xfId="773"/>
    <cellStyle name="ÄÞ¸¶_laroux 2" xfId="2992"/>
    <cellStyle name="AÞ¸¶_laroux 2 2" xfId="2993"/>
    <cellStyle name="ÄÞ¸¶_laroux 3" xfId="2994"/>
    <cellStyle name="AÞ¸¶_laroux 3 2" xfId="2995"/>
    <cellStyle name="ÄÞ¸¶_laroux 4" xfId="2996"/>
    <cellStyle name="AÞ¸¶_laroux 4 2" xfId="2997"/>
    <cellStyle name="ÄÞ¸¶_laroux 5" xfId="2998"/>
    <cellStyle name="AÞ¸¶_laroux 5 2" xfId="2999"/>
    <cellStyle name="ÄÞ¸¶_laroux 6" xfId="3000"/>
    <cellStyle name="AÞ¸¶_laroux 7" xfId="3001"/>
    <cellStyle name="ÄÞ¸¶_laroux 7" xfId="3002"/>
    <cellStyle name="AÞ¸¶_laroux 8" xfId="3003"/>
    <cellStyle name="ÄÞ¸¶_laroux 8" xfId="3004"/>
    <cellStyle name="AÞ¸¶_laroux 9" xfId="3005"/>
    <cellStyle name="ÄÞ¸¶_laroux 9" xfId="3006"/>
    <cellStyle name="AÞ¸¶_laroux_1" xfId="3007"/>
    <cellStyle name="ÄÞ¸¶_laroux_1" xfId="774"/>
    <cellStyle name="AÞ¸¶_laroux_2" xfId="775"/>
    <cellStyle name="ÄÞ¸¶_laroux_2" xfId="776"/>
    <cellStyle name="AÞ¸¶_laroux_2 10" xfId="777"/>
    <cellStyle name="ÄÞ¸¶_laroux_2 10" xfId="3008"/>
    <cellStyle name="AÞ¸¶_laroux_2 11" xfId="3009"/>
    <cellStyle name="ÄÞ¸¶_laroux_2 11" xfId="3010"/>
    <cellStyle name="AÞ¸¶_laroux_2 12" xfId="3011"/>
    <cellStyle name="ÄÞ¸¶_laroux_2 12" xfId="3012"/>
    <cellStyle name="AÞ¸¶_laroux_2 13" xfId="3013"/>
    <cellStyle name="ÄÞ¸¶_laroux_2 13" xfId="3014"/>
    <cellStyle name="AÞ¸¶_laroux_2 14" xfId="3015"/>
    <cellStyle name="ÄÞ¸¶_laroux_2 14" xfId="3016"/>
    <cellStyle name="AÞ¸¶_laroux_2 2" xfId="3017"/>
    <cellStyle name="ÄÞ¸¶_laroux_2 2" xfId="3018"/>
    <cellStyle name="AÞ¸¶_laroux_2 2 2" xfId="3019"/>
    <cellStyle name="ÄÞ¸¶_laroux_2 3" xfId="3020"/>
    <cellStyle name="AÞ¸¶_laroux_2 3 2" xfId="3021"/>
    <cellStyle name="ÄÞ¸¶_laroux_2 4" xfId="3022"/>
    <cellStyle name="AÞ¸¶_laroux_2 4 2" xfId="3023"/>
    <cellStyle name="ÄÞ¸¶_laroux_2 5" xfId="3024"/>
    <cellStyle name="AÞ¸¶_laroux_2 5 2" xfId="3025"/>
    <cellStyle name="ÄÞ¸¶_laroux_2 6" xfId="3026"/>
    <cellStyle name="AÞ¸¶_laroux_2 7" xfId="3027"/>
    <cellStyle name="ÄÞ¸¶_laroux_2 7" xfId="3028"/>
    <cellStyle name="AÞ¸¶_laroux_2 8" xfId="3029"/>
    <cellStyle name="ÄÞ¸¶_laroux_2 8" xfId="3030"/>
    <cellStyle name="AÞ¸¶_laroux_2 9" xfId="3031"/>
    <cellStyle name="ÄÞ¸¶_laroux_2 9" xfId="3032"/>
    <cellStyle name="AÞ¸¶_laroux_3" xfId="3033"/>
    <cellStyle name="ÄÞ¸¶_laroux_3" xfId="778"/>
    <cellStyle name="AÞ¸¶_laroux_4" xfId="779"/>
    <cellStyle name="ÄÞ¸¶_laroux_4" xfId="780"/>
    <cellStyle name="AÞ¸¶_MBO_0" xfId="781"/>
    <cellStyle name="ÄÞ¸¶_MBO_0" xfId="782"/>
    <cellStyle name="AÞ¸¶_MBO_0 10" xfId="783"/>
    <cellStyle name="ÄÞ¸¶_MBO_0 10" xfId="3034"/>
    <cellStyle name="AÞ¸¶_MBO_0 11" xfId="3035"/>
    <cellStyle name="ÄÞ¸¶_MBO_0 11" xfId="3036"/>
    <cellStyle name="AÞ¸¶_MBO_0 12" xfId="3037"/>
    <cellStyle name="ÄÞ¸¶_MBO_0 12" xfId="3038"/>
    <cellStyle name="AÞ¸¶_MBO_0 13" xfId="3039"/>
    <cellStyle name="ÄÞ¸¶_MBO_0 13" xfId="3040"/>
    <cellStyle name="AÞ¸¶_MBO_0 14" xfId="3041"/>
    <cellStyle name="ÄÞ¸¶_MBO_0 14" xfId="3042"/>
    <cellStyle name="AÞ¸¶_MBO_0 2" xfId="3043"/>
    <cellStyle name="ÄÞ¸¶_MBO_0 2" xfId="3044"/>
    <cellStyle name="AÞ¸¶_MBO_0 2 2" xfId="3045"/>
    <cellStyle name="ÄÞ¸¶_MBO_0 3" xfId="3046"/>
    <cellStyle name="AÞ¸¶_MBO_0 3 2" xfId="3047"/>
    <cellStyle name="ÄÞ¸¶_MBO_0 4" xfId="3048"/>
    <cellStyle name="AÞ¸¶_MBO_0 4 2" xfId="3049"/>
    <cellStyle name="ÄÞ¸¶_MBO_0 5" xfId="3050"/>
    <cellStyle name="AÞ¸¶_MBO_0 5 2" xfId="3051"/>
    <cellStyle name="ÄÞ¸¶_MBO_0 6" xfId="3052"/>
    <cellStyle name="AÞ¸¶_MBO_0 7" xfId="3053"/>
    <cellStyle name="ÄÞ¸¶_MBO_0 7" xfId="3054"/>
    <cellStyle name="AÞ¸¶_MBO_0 8" xfId="3055"/>
    <cellStyle name="ÄÞ¸¶_MBO_0 8" xfId="3056"/>
    <cellStyle name="AÞ¸¶_MBO_0 9" xfId="3057"/>
    <cellStyle name="ÄÞ¸¶_MBO_0 9" xfId="3058"/>
    <cellStyle name="AÞ¸¶_MBO96_1" xfId="3059"/>
    <cellStyle name="ÄÞ¸¶_MBO96_1" xfId="784"/>
    <cellStyle name="AÞ¸¶_MBO96_1 10" xfId="785"/>
    <cellStyle name="ÄÞ¸¶_MBO96_1 10" xfId="3060"/>
    <cellStyle name="AÞ¸¶_MBO96_1 11" xfId="3061"/>
    <cellStyle name="ÄÞ¸¶_MBO96_1 11" xfId="3062"/>
    <cellStyle name="AÞ¸¶_MBO96_1 12" xfId="3063"/>
    <cellStyle name="ÄÞ¸¶_MBO96_1 12" xfId="3064"/>
    <cellStyle name="AÞ¸¶_MBO96_1 13" xfId="3065"/>
    <cellStyle name="ÄÞ¸¶_MBO96_1 13" xfId="3066"/>
    <cellStyle name="AÞ¸¶_MBO96_1 14" xfId="3067"/>
    <cellStyle name="ÄÞ¸¶_MBO96_1 14" xfId="3068"/>
    <cellStyle name="AÞ¸¶_MBO96_1 2" xfId="3069"/>
    <cellStyle name="ÄÞ¸¶_MBO96_1 2" xfId="3070"/>
    <cellStyle name="AÞ¸¶_MBO96_1 2 2" xfId="3071"/>
    <cellStyle name="ÄÞ¸¶_MBO96_1 3" xfId="3072"/>
    <cellStyle name="AÞ¸¶_MBO96_1 3 2" xfId="3073"/>
    <cellStyle name="ÄÞ¸¶_MBO96_1 4" xfId="3074"/>
    <cellStyle name="AÞ¸¶_MBO96_1 4 2" xfId="3075"/>
    <cellStyle name="ÄÞ¸¶_MBO96_1 5" xfId="3076"/>
    <cellStyle name="AÞ¸¶_MBO96_1 5 2" xfId="3077"/>
    <cellStyle name="ÄÞ¸¶_MBO96_1 6" xfId="3078"/>
    <cellStyle name="AÞ¸¶_MBO96_1 7" xfId="3079"/>
    <cellStyle name="ÄÞ¸¶_MBO96_1 7" xfId="3080"/>
    <cellStyle name="AÞ¸¶_MBO96_1 8" xfId="3081"/>
    <cellStyle name="ÄÞ¸¶_MBO96_1 8" xfId="3082"/>
    <cellStyle name="AÞ¸¶_MBO96_1 9" xfId="3083"/>
    <cellStyle name="ÄÞ¸¶_MBO96_1 9" xfId="3084"/>
    <cellStyle name="Bad" xfId="3085"/>
    <cellStyle name="blue$00" xfId="786"/>
    <cellStyle name="British Pound" xfId="787"/>
    <cellStyle name="C¡?A¨ª_¡¾????Ubal" xfId="788"/>
    <cellStyle name="C¡ÍA¨ª_¡¾©ö¢¯Ubal" xfId="789"/>
    <cellStyle name="Ç¥áø" xfId="790"/>
    <cellStyle name="C￥AØ_´e¼OAæ´c±Y" xfId="791"/>
    <cellStyle name="Ç¥ÁØ_±×·¡ÇÁ" xfId="3086"/>
    <cellStyle name="C￥AØ_±¹¿UPL" xfId="792"/>
    <cellStyle name="Ç¥ÁØ_±¹¿ÜPL" xfId="793"/>
    <cellStyle name="C￥AØ_¾ÆA§AU¾÷" xfId="794"/>
    <cellStyle name="Ç¥ÁØ_96_5¹é°îºñ¿ë" xfId="795"/>
    <cellStyle name="C￥AØ_A|Aa¿e" xfId="796"/>
    <cellStyle name="Ç¥ÁØ_Á¦Ãâ¿ë" xfId="797"/>
    <cellStyle name="C￥AØ_laroux" xfId="798"/>
    <cellStyle name="Ç¥ÁØ_laroux" xfId="799"/>
    <cellStyle name="C￥AØ_laroux 10" xfId="800"/>
    <cellStyle name="Ç¥ÁØ_laroux 10" xfId="3087"/>
    <cellStyle name="C￥AØ_laroux 11" xfId="3088"/>
    <cellStyle name="Ç¥ÁØ_laroux 11" xfId="3089"/>
    <cellStyle name="C￥AØ_laroux 12" xfId="3090"/>
    <cellStyle name="Ç¥ÁØ_laroux 12" xfId="3091"/>
    <cellStyle name="C￥AØ_laroux 13" xfId="3092"/>
    <cellStyle name="Ç¥ÁØ_laroux 13" xfId="3093"/>
    <cellStyle name="C￥AØ_laroux 14" xfId="3094"/>
    <cellStyle name="Ç¥ÁØ_laroux 14" xfId="3095"/>
    <cellStyle name="C￥AØ_laroux 2" xfId="3096"/>
    <cellStyle name="Ç¥ÁØ_laroux 2" xfId="3097"/>
    <cellStyle name="C￥AØ_laroux 2 2" xfId="3098"/>
    <cellStyle name="Ç¥ÁØ_laroux 3" xfId="3099"/>
    <cellStyle name="C￥AØ_laroux 3 2" xfId="3100"/>
    <cellStyle name="Ç¥ÁØ_laroux 4" xfId="3101"/>
    <cellStyle name="C￥AØ_laroux 4 2" xfId="3102"/>
    <cellStyle name="Ç¥ÁØ_laroux 5" xfId="3103"/>
    <cellStyle name="C￥AØ_laroux 5 2" xfId="3104"/>
    <cellStyle name="Ç¥ÁØ_laroux 6" xfId="3105"/>
    <cellStyle name="C￥AØ_laroux 7" xfId="3106"/>
    <cellStyle name="Ç¥ÁØ_laroux 7" xfId="3107"/>
    <cellStyle name="C￥AØ_laroux 8" xfId="3108"/>
    <cellStyle name="Ç¥ÁØ_laroux 8" xfId="3109"/>
    <cellStyle name="C￥AØ_laroux 9" xfId="3110"/>
    <cellStyle name="Ç¥ÁØ_laroux 9" xfId="3111"/>
    <cellStyle name="C￥AØ_laroux_1" xfId="3112"/>
    <cellStyle name="Ç¥ÁØ_laroux_1" xfId="801"/>
    <cellStyle name="C￥AØ_laroux_2" xfId="802"/>
    <cellStyle name="Ç¥ÁØ_laroux_2" xfId="803"/>
    <cellStyle name="C￥AØ_laroux_3" xfId="804"/>
    <cellStyle name="Ç¥ÁØ_laroux_3" xfId="805"/>
    <cellStyle name="C￥AØ_laroux_4" xfId="806"/>
    <cellStyle name="Ç¥ÁØ_laroux_4" xfId="807"/>
    <cellStyle name="C￥AØ_laroux_5" xfId="808"/>
    <cellStyle name="Ç¥ÁØ_laroux_5" xfId="809"/>
    <cellStyle name="C￥AØ_Sheet1" xfId="810"/>
    <cellStyle name="Ç¥ÁØ_Sheet1" xfId="811"/>
    <cellStyle name="Calc Currency (0)" xfId="812"/>
    <cellStyle name="Calculation" xfId="3113"/>
    <cellStyle name="Case" xfId="813"/>
    <cellStyle name="category" xfId="814"/>
    <cellStyle name="Check Cell" xfId="3114"/>
    <cellStyle name="Comma" xfId="815"/>
    <cellStyle name="Comma  - Style1" xfId="816"/>
    <cellStyle name="Comma  - Style1 10" xfId="817"/>
    <cellStyle name="Comma  - Style1 11" xfId="818"/>
    <cellStyle name="Comma  - Style1 12" xfId="819"/>
    <cellStyle name="Comma  - Style1 13" xfId="820"/>
    <cellStyle name="Comma  - Style1 14" xfId="821"/>
    <cellStyle name="Comma  - Style1 15" xfId="822"/>
    <cellStyle name="Comma  - Style1 16" xfId="823"/>
    <cellStyle name="Comma  - Style1 2" xfId="824"/>
    <cellStyle name="Comma  - Style1 3" xfId="825"/>
    <cellStyle name="Comma  - Style1 4" xfId="826"/>
    <cellStyle name="Comma  - Style1 5" xfId="827"/>
    <cellStyle name="Comma  - Style1 6" xfId="828"/>
    <cellStyle name="Comma  - Style1 7" xfId="829"/>
    <cellStyle name="Comma  - Style1 8" xfId="830"/>
    <cellStyle name="Comma  - Style1 9" xfId="831"/>
    <cellStyle name="Comma  - Style2" xfId="832"/>
    <cellStyle name="Comma  - Style2 10" xfId="833"/>
    <cellStyle name="Comma  - Style2 11" xfId="834"/>
    <cellStyle name="Comma  - Style2 12" xfId="835"/>
    <cellStyle name="Comma  - Style2 13" xfId="836"/>
    <cellStyle name="Comma  - Style2 14" xfId="837"/>
    <cellStyle name="Comma  - Style2 15" xfId="838"/>
    <cellStyle name="Comma  - Style2 16" xfId="839"/>
    <cellStyle name="Comma  - Style2 2" xfId="840"/>
    <cellStyle name="Comma  - Style2 3" xfId="841"/>
    <cellStyle name="Comma  - Style2 4" xfId="842"/>
    <cellStyle name="Comma  - Style2 5" xfId="843"/>
    <cellStyle name="Comma  - Style2 6" xfId="844"/>
    <cellStyle name="Comma  - Style2 7" xfId="845"/>
    <cellStyle name="Comma  - Style2 8" xfId="846"/>
    <cellStyle name="Comma  - Style2 9" xfId="847"/>
    <cellStyle name="Comma  - Style3" xfId="848"/>
    <cellStyle name="Comma  - Style3 10" xfId="849"/>
    <cellStyle name="Comma  - Style3 11" xfId="850"/>
    <cellStyle name="Comma  - Style3 12" xfId="851"/>
    <cellStyle name="Comma  - Style3 13" xfId="852"/>
    <cellStyle name="Comma  - Style3 14" xfId="853"/>
    <cellStyle name="Comma  - Style3 15" xfId="854"/>
    <cellStyle name="Comma  - Style3 16" xfId="855"/>
    <cellStyle name="Comma  - Style3 2" xfId="856"/>
    <cellStyle name="Comma  - Style3 3" xfId="857"/>
    <cellStyle name="Comma  - Style3 4" xfId="858"/>
    <cellStyle name="Comma  - Style3 5" xfId="859"/>
    <cellStyle name="Comma  - Style3 6" xfId="860"/>
    <cellStyle name="Comma  - Style3 7" xfId="861"/>
    <cellStyle name="Comma  - Style3 8" xfId="862"/>
    <cellStyle name="Comma  - Style3 9" xfId="863"/>
    <cellStyle name="Comma  - Style4" xfId="864"/>
    <cellStyle name="Comma  - Style4 10" xfId="865"/>
    <cellStyle name="Comma  - Style4 11" xfId="866"/>
    <cellStyle name="Comma  - Style4 12" xfId="867"/>
    <cellStyle name="Comma  - Style4 13" xfId="868"/>
    <cellStyle name="Comma  - Style4 14" xfId="869"/>
    <cellStyle name="Comma  - Style4 15" xfId="870"/>
    <cellStyle name="Comma  - Style4 16" xfId="871"/>
    <cellStyle name="Comma  - Style4 2" xfId="872"/>
    <cellStyle name="Comma  - Style4 3" xfId="873"/>
    <cellStyle name="Comma  - Style4 4" xfId="874"/>
    <cellStyle name="Comma  - Style4 5" xfId="875"/>
    <cellStyle name="Comma  - Style4 6" xfId="876"/>
    <cellStyle name="Comma  - Style4 7" xfId="877"/>
    <cellStyle name="Comma  - Style4 8" xfId="878"/>
    <cellStyle name="Comma  - Style4 9" xfId="879"/>
    <cellStyle name="Comma  - Style5" xfId="880"/>
    <cellStyle name="Comma  - Style5 10" xfId="881"/>
    <cellStyle name="Comma  - Style5 11" xfId="882"/>
    <cellStyle name="Comma  - Style5 12" xfId="883"/>
    <cellStyle name="Comma  - Style5 13" xfId="884"/>
    <cellStyle name="Comma  - Style5 14" xfId="885"/>
    <cellStyle name="Comma  - Style5 15" xfId="886"/>
    <cellStyle name="Comma  - Style5 16" xfId="887"/>
    <cellStyle name="Comma  - Style5 2" xfId="888"/>
    <cellStyle name="Comma  - Style5 3" xfId="889"/>
    <cellStyle name="Comma  - Style5 4" xfId="890"/>
    <cellStyle name="Comma  - Style5 5" xfId="891"/>
    <cellStyle name="Comma  - Style5 6" xfId="892"/>
    <cellStyle name="Comma  - Style5 7" xfId="893"/>
    <cellStyle name="Comma  - Style5 8" xfId="894"/>
    <cellStyle name="Comma  - Style5 9" xfId="895"/>
    <cellStyle name="Comma  - Style6" xfId="896"/>
    <cellStyle name="Comma  - Style6 10" xfId="897"/>
    <cellStyle name="Comma  - Style6 11" xfId="898"/>
    <cellStyle name="Comma  - Style6 12" xfId="899"/>
    <cellStyle name="Comma  - Style6 13" xfId="900"/>
    <cellStyle name="Comma  - Style6 14" xfId="901"/>
    <cellStyle name="Comma  - Style6 15" xfId="902"/>
    <cellStyle name="Comma  - Style6 16" xfId="903"/>
    <cellStyle name="Comma  - Style6 2" xfId="904"/>
    <cellStyle name="Comma  - Style6 3" xfId="905"/>
    <cellStyle name="Comma  - Style6 4" xfId="906"/>
    <cellStyle name="Comma  - Style6 5" xfId="907"/>
    <cellStyle name="Comma  - Style6 6" xfId="908"/>
    <cellStyle name="Comma  - Style6 7" xfId="909"/>
    <cellStyle name="Comma  - Style6 8" xfId="910"/>
    <cellStyle name="Comma  - Style6 9" xfId="911"/>
    <cellStyle name="Comma  - Style7" xfId="912"/>
    <cellStyle name="Comma  - Style7 10" xfId="913"/>
    <cellStyle name="Comma  - Style7 11" xfId="914"/>
    <cellStyle name="Comma  - Style7 12" xfId="915"/>
    <cellStyle name="Comma  - Style7 13" xfId="916"/>
    <cellStyle name="Comma  - Style7 14" xfId="917"/>
    <cellStyle name="Comma  - Style7 15" xfId="918"/>
    <cellStyle name="Comma  - Style7 16" xfId="919"/>
    <cellStyle name="Comma  - Style7 2" xfId="920"/>
    <cellStyle name="Comma  - Style7 3" xfId="921"/>
    <cellStyle name="Comma  - Style7 4" xfId="922"/>
    <cellStyle name="Comma  - Style7 5" xfId="923"/>
    <cellStyle name="Comma  - Style7 6" xfId="924"/>
    <cellStyle name="Comma  - Style7 7" xfId="925"/>
    <cellStyle name="Comma  - Style7 8" xfId="926"/>
    <cellStyle name="Comma  - Style7 9" xfId="927"/>
    <cellStyle name="Comma  - Style8" xfId="928"/>
    <cellStyle name="Comma  - Style8 10" xfId="929"/>
    <cellStyle name="Comma  - Style8 11" xfId="930"/>
    <cellStyle name="Comma  - Style8 12" xfId="931"/>
    <cellStyle name="Comma  - Style8 13" xfId="932"/>
    <cellStyle name="Comma  - Style8 14" xfId="933"/>
    <cellStyle name="Comma  - Style8 15" xfId="934"/>
    <cellStyle name="Comma  - Style8 16" xfId="935"/>
    <cellStyle name="Comma  - Style8 2" xfId="936"/>
    <cellStyle name="Comma  - Style8 3" xfId="937"/>
    <cellStyle name="Comma  - Style8 4" xfId="938"/>
    <cellStyle name="Comma  - Style8 5" xfId="939"/>
    <cellStyle name="Comma  - Style8 6" xfId="940"/>
    <cellStyle name="Comma  - Style8 7" xfId="941"/>
    <cellStyle name="Comma  - Style8 8" xfId="942"/>
    <cellStyle name="Comma  - Style8 9" xfId="943"/>
    <cellStyle name="Comma [0]" xfId="944"/>
    <cellStyle name="Comma [0] 2" xfId="3115"/>
    <cellStyle name="Comma [0]_ sg&amp;" xfId="3278"/>
    <cellStyle name="Comma 0" xfId="3116"/>
    <cellStyle name="Comma 2" xfId="3117"/>
    <cellStyle name="comma zerodec" xfId="945"/>
    <cellStyle name="Comma_ sg&amp;a br" xfId="946"/>
    <cellStyle name="Comma0" xfId="947"/>
    <cellStyle name="Copied" xfId="948"/>
    <cellStyle name="Curren?y_9월경비_1월회비내역 (2)_1" xfId="3118"/>
    <cellStyle name="Currency" xfId="949"/>
    <cellStyle name="Currency [0]" xfId="950"/>
    <cellStyle name="Currency [0] 2" xfId="3119"/>
    <cellStyle name="Currency [0]_ " xfId="3279"/>
    <cellStyle name="Currency 0" xfId="3120"/>
    <cellStyle name="Currency 2" xfId="3121"/>
    <cellStyle name="currency-$" xfId="951"/>
    <cellStyle name="currency-$ 2" xfId="952"/>
    <cellStyle name="currency-$ 3" xfId="953"/>
    <cellStyle name="currency-$ 4" xfId="954"/>
    <cellStyle name="currency-$ 5" xfId="955"/>
    <cellStyle name="currency-$ 6" xfId="956"/>
    <cellStyle name="currency-$ 7" xfId="957"/>
    <cellStyle name="Currency_ sg&amp;a" xfId="958"/>
    <cellStyle name="Currency0" xfId="959"/>
    <cellStyle name="Currency1" xfId="960"/>
    <cellStyle name="Currency1 10" xfId="961"/>
    <cellStyle name="Currency1 2" xfId="962"/>
    <cellStyle name="Currency1 2 2" xfId="3122"/>
    <cellStyle name="Currency1 3" xfId="963"/>
    <cellStyle name="Currency1 4" xfId="964"/>
    <cellStyle name="Currency1 5" xfId="965"/>
    <cellStyle name="Currency1 6" xfId="966"/>
    <cellStyle name="Currency1 7" xfId="967"/>
    <cellStyle name="Currency1 8" xfId="968"/>
    <cellStyle name="Currency1 9" xfId="969"/>
    <cellStyle name="Curren堼y_9월경비_1월회비내역 (2)_1" xfId="3123"/>
    <cellStyle name="Date" xfId="970"/>
    <cellStyle name="Date Aligned" xfId="3124"/>
    <cellStyle name="Date_OC_유가증권 차주별 정리_20070630" xfId="3125"/>
    <cellStyle name="Dollar (zero dec)" xfId="971"/>
    <cellStyle name="Dotted Line" xfId="3126"/>
    <cellStyle name="Double Accounting" xfId="972"/>
    <cellStyle name="Emphasis 1" xfId="3127"/>
    <cellStyle name="Emphasis 2" xfId="3128"/>
    <cellStyle name="Emphasis 3" xfId="3129"/>
    <cellStyle name="Entered" xfId="973"/>
    <cellStyle name="Euro" xfId="974"/>
    <cellStyle name="Fixed" xfId="975"/>
    <cellStyle name="Followed Hyperlink_0331longsht" xfId="976"/>
    <cellStyle name="Footnote" xfId="3130"/>
    <cellStyle name="Good" xfId="3131"/>
    <cellStyle name="Grey" xfId="977"/>
    <cellStyle name="Grey 2" xfId="978"/>
    <cellStyle name="Grey 2 2" xfId="3132"/>
    <cellStyle name="Hard Percent" xfId="3133"/>
    <cellStyle name="HEADER" xfId="979"/>
    <cellStyle name="Header1" xfId="980"/>
    <cellStyle name="Header2" xfId="981"/>
    <cellStyle name="Header2 2" xfId="982"/>
    <cellStyle name="Header2 3" xfId="983"/>
    <cellStyle name="Header2 4" xfId="984"/>
    <cellStyle name="Header2 5" xfId="985"/>
    <cellStyle name="Header2 6" xfId="986"/>
    <cellStyle name="Header2 7" xfId="987"/>
    <cellStyle name="Heading" xfId="988"/>
    <cellStyle name="Heading 1" xfId="989"/>
    <cellStyle name="Heading 2" xfId="990"/>
    <cellStyle name="Heading 3" xfId="3134"/>
    <cellStyle name="Heading 4" xfId="3135"/>
    <cellStyle name="Heading_B2506_대손충당금 적립현황" xfId="3136"/>
    <cellStyle name="Heading1" xfId="991"/>
    <cellStyle name="Heading2" xfId="992"/>
    <cellStyle name="HeadingS" xfId="993"/>
    <cellStyle name="Hyperlink" xfId="994"/>
    <cellStyle name="Input" xfId="995"/>
    <cellStyle name="Input [yellow]" xfId="996"/>
    <cellStyle name="Input [yellow] 2" xfId="997"/>
    <cellStyle name="Input [yellow] 2 2" xfId="998"/>
    <cellStyle name="Input [yellow] 3" xfId="999"/>
    <cellStyle name="Input [yellow] 4" xfId="1000"/>
    <cellStyle name="Input [yellow] 5" xfId="1001"/>
    <cellStyle name="Input [yellow] 6" xfId="1002"/>
    <cellStyle name="Input [yellow] 7" xfId="1003"/>
    <cellStyle name="Input [yellow] 8" xfId="1004"/>
    <cellStyle name="Input_0724 대손상각 최종명세(발표용)70704현재" xfId="3137"/>
    <cellStyle name="InputBlueFont" xfId="1005"/>
    <cellStyle name="left" xfId="1006"/>
    <cellStyle name="Linked Cell" xfId="3138"/>
    <cellStyle name="MenuHeading" xfId="1007"/>
    <cellStyle name="Millares [0]_PERSONAL" xfId="1008"/>
    <cellStyle name="Millares_PERSONAL" xfId="1009"/>
    <cellStyle name="Milliers [0]_Arabian Spec" xfId="1010"/>
    <cellStyle name="Milliers_Arabian Spec" xfId="1011"/>
    <cellStyle name="MLHeaderSection" xfId="1012"/>
    <cellStyle name="MLHeaderSection 2" xfId="3139"/>
    <cellStyle name="Model" xfId="1013"/>
    <cellStyle name="Mon?aire [0]_Arabian Spec" xfId="1014"/>
    <cellStyle name="Mon?aire_Arabian Spec" xfId="1015"/>
    <cellStyle name="Moneda [0]_CONTENCION CONDELL 25.051" xfId="1016"/>
    <cellStyle name="Moneda_CONTENCION CONDELL 25.051" xfId="1017"/>
    <cellStyle name="Multiple" xfId="1018"/>
    <cellStyle name="Multiple0" xfId="1019"/>
    <cellStyle name="Neutral" xfId="3140"/>
    <cellStyle name="no dec" xfId="1020"/>
    <cellStyle name="Normal" xfId="1021"/>
    <cellStyle name="Normal - Style1" xfId="1022"/>
    <cellStyle name="Normal - Style1 2" xfId="1023"/>
    <cellStyle name="Normal - Style1 2 2" xfId="3141"/>
    <cellStyle name="Normal - Style2" xfId="1024"/>
    <cellStyle name="Normal - Style3" xfId="1025"/>
    <cellStyle name="Normal - Style4" xfId="1026"/>
    <cellStyle name="Normal - Style5" xfId="1027"/>
    <cellStyle name="Normal - Style6" xfId="1028"/>
    <cellStyle name="Normal - Style7" xfId="1029"/>
    <cellStyle name="Normal - Style8" xfId="1030"/>
    <cellStyle name="Normal_ sg&amp;a b" xfId="1031"/>
    <cellStyle name="Normal1" xfId="3142"/>
    <cellStyle name="Normal2" xfId="3143"/>
    <cellStyle name="Normal3" xfId="3144"/>
    <cellStyle name="Normal4" xfId="3145"/>
    <cellStyle name="Note" xfId="3146"/>
    <cellStyle name="Œ…?æ맖?e [0.00]_laroux" xfId="1032"/>
    <cellStyle name="Œ…?æ맖?e_laroux" xfId="1033"/>
    <cellStyle name="Output" xfId="3147"/>
    <cellStyle name="Output Amounts" xfId="1034"/>
    <cellStyle name="Output Column Headings" xfId="1035"/>
    <cellStyle name="Output Line Items" xfId="1036"/>
    <cellStyle name="Output Report Heading" xfId="1037"/>
    <cellStyle name="Output Report Title" xfId="1038"/>
    <cellStyle name="Page Number" xfId="3148"/>
    <cellStyle name="PageSubtitle" xfId="1039"/>
    <cellStyle name="PageTitle" xfId="1040"/>
    <cellStyle name="PARK" xfId="1041"/>
    <cellStyle name="Percent" xfId="1042"/>
    <cellStyle name="Percent (0)" xfId="1043"/>
    <cellStyle name="Percent [2]" xfId="1044"/>
    <cellStyle name="Percent_02엘지카드(최종)" xfId="1045"/>
    <cellStyle name="Percent0" xfId="1046"/>
    <cellStyle name="PillarData" xfId="3149"/>
    <cellStyle name="PillarHeading" xfId="3150"/>
    <cellStyle name="PillarText" xfId="3151"/>
    <cellStyle name="PillarTotal" xfId="3152"/>
    <cellStyle name="pricing" xfId="3153"/>
    <cellStyle name="RevList" xfId="1047"/>
    <cellStyle name="s]_x000d__x000a_run=c:\Hedgehog\app31.exe_x000d__x000a_spooler=yes_x000d__x000a_load=_x000d__x000a_run=_x000d__x000a_Beep=yes_x000d__x000a_NullPort=None_x000d__x000a_BorderWidth=3_x000d__x000a_CursorBlinkRate=530_x000d__x000a_D" xfId="1048"/>
    <cellStyle name="s]_x000d__x000a_spooler=yes_x000d__x000a_load=_x000d__x000a_run=d:\secrets2\plugin\plugin.exe_x000d__x000a_Beep=yes_x000d__x000a_NullPort=None_x000d__x000a_BorderWidth=3_x000d__x000a_CursorBlinkRate=530_x000d_" xfId="1049"/>
    <cellStyle name="Sheet Title" xfId="3154"/>
    <cellStyle name="Single Accounting" xfId="1050"/>
    <cellStyle name="Style 1" xfId="3155"/>
    <cellStyle name="subhead" xfId="1051"/>
    <cellStyle name="Subtotal" xfId="1052"/>
    <cellStyle name="Table Head" xfId="3156"/>
    <cellStyle name="Table Head Aligned" xfId="3157"/>
    <cellStyle name="Table Head Blue" xfId="3158"/>
    <cellStyle name="Table Head Green" xfId="3159"/>
    <cellStyle name="Table Title" xfId="3160"/>
    <cellStyle name="Table Units" xfId="3161"/>
    <cellStyle name="Tickmark" xfId="1053"/>
    <cellStyle name="Times 10" xfId="1054"/>
    <cellStyle name="Times 12" xfId="1055"/>
    <cellStyle name="Times New Roman" xfId="1056"/>
    <cellStyle name="Total" xfId="1057"/>
    <cellStyle name="Warning Text" xfId="3162"/>
    <cellStyle name="wrap" xfId="1058"/>
    <cellStyle name="Yen" xfId="1059"/>
    <cellStyle name="ﾇ･ﾁﾘ_ｱｹｿﾜbal" xfId="1060"/>
    <cellStyle name="강조색1 10" xfId="1061"/>
    <cellStyle name="강조색1 11" xfId="1062"/>
    <cellStyle name="강조색1 12" xfId="1063"/>
    <cellStyle name="강조색1 13" xfId="1064"/>
    <cellStyle name="강조색1 14" xfId="1065"/>
    <cellStyle name="강조색1 15" xfId="1066"/>
    <cellStyle name="강조색1 16" xfId="1067"/>
    <cellStyle name="강조색1 17" xfId="1068"/>
    <cellStyle name="강조색1 18" xfId="1069"/>
    <cellStyle name="강조색1 19" xfId="1070"/>
    <cellStyle name="강조색1 2" xfId="1071"/>
    <cellStyle name="강조색1 20" xfId="1072"/>
    <cellStyle name="강조색1 21" xfId="1073"/>
    <cellStyle name="강조색1 22" xfId="1074"/>
    <cellStyle name="강조색1 23" xfId="1075"/>
    <cellStyle name="강조색1 24" xfId="1076"/>
    <cellStyle name="강조색1 25" xfId="1077"/>
    <cellStyle name="강조색1 26" xfId="1078"/>
    <cellStyle name="강조색1 27" xfId="1079"/>
    <cellStyle name="강조색1 28" xfId="1080"/>
    <cellStyle name="강조색1 29" xfId="1081"/>
    <cellStyle name="강조색1 3" xfId="1082"/>
    <cellStyle name="강조색1 30" xfId="1083"/>
    <cellStyle name="강조색1 31" xfId="1084"/>
    <cellStyle name="강조색1 32" xfId="3280"/>
    <cellStyle name="강조색1 4" xfId="1085"/>
    <cellStyle name="강조색1 5" xfId="1086"/>
    <cellStyle name="강조색1 6" xfId="1087"/>
    <cellStyle name="강조색1 7" xfId="1088"/>
    <cellStyle name="강조색1 8" xfId="1089"/>
    <cellStyle name="강조색1 9" xfId="1090"/>
    <cellStyle name="강조색2 10" xfId="1091"/>
    <cellStyle name="강조색2 11" xfId="1092"/>
    <cellStyle name="강조색2 12" xfId="1093"/>
    <cellStyle name="강조색2 13" xfId="1094"/>
    <cellStyle name="강조색2 14" xfId="1095"/>
    <cellStyle name="강조색2 15" xfId="1096"/>
    <cellStyle name="강조색2 16" xfId="1097"/>
    <cellStyle name="강조색2 17" xfId="1098"/>
    <cellStyle name="강조색2 18" xfId="1099"/>
    <cellStyle name="강조색2 19" xfId="1100"/>
    <cellStyle name="강조색2 2" xfId="1101"/>
    <cellStyle name="강조색2 20" xfId="1102"/>
    <cellStyle name="강조색2 21" xfId="1103"/>
    <cellStyle name="강조색2 22" xfId="1104"/>
    <cellStyle name="강조색2 23" xfId="1105"/>
    <cellStyle name="강조색2 24" xfId="1106"/>
    <cellStyle name="강조색2 25" xfId="1107"/>
    <cellStyle name="강조색2 26" xfId="1108"/>
    <cellStyle name="강조색2 27" xfId="1109"/>
    <cellStyle name="강조색2 28" xfId="1110"/>
    <cellStyle name="강조색2 29" xfId="1111"/>
    <cellStyle name="강조색2 3" xfId="1112"/>
    <cellStyle name="강조색2 30" xfId="1113"/>
    <cellStyle name="강조색2 31" xfId="1114"/>
    <cellStyle name="강조색2 32" xfId="3281"/>
    <cellStyle name="강조색2 4" xfId="1115"/>
    <cellStyle name="강조색2 5" xfId="1116"/>
    <cellStyle name="강조색2 6" xfId="1117"/>
    <cellStyle name="강조색2 7" xfId="1118"/>
    <cellStyle name="강조색2 8" xfId="1119"/>
    <cellStyle name="강조색2 9" xfId="1120"/>
    <cellStyle name="강조색3 10" xfId="1121"/>
    <cellStyle name="강조색3 11" xfId="1122"/>
    <cellStyle name="강조색3 12" xfId="1123"/>
    <cellStyle name="강조색3 13" xfId="1124"/>
    <cellStyle name="강조색3 14" xfId="1125"/>
    <cellStyle name="강조색3 15" xfId="1126"/>
    <cellStyle name="강조색3 16" xfId="1127"/>
    <cellStyle name="강조색3 17" xfId="1128"/>
    <cellStyle name="강조색3 18" xfId="1129"/>
    <cellStyle name="강조색3 19" xfId="1130"/>
    <cellStyle name="강조색3 2" xfId="1131"/>
    <cellStyle name="강조색3 20" xfId="1132"/>
    <cellStyle name="강조색3 21" xfId="1133"/>
    <cellStyle name="강조색3 22" xfId="1134"/>
    <cellStyle name="강조색3 23" xfId="1135"/>
    <cellStyle name="강조색3 24" xfId="1136"/>
    <cellStyle name="강조색3 25" xfId="1137"/>
    <cellStyle name="강조색3 26" xfId="1138"/>
    <cellStyle name="강조색3 27" xfId="1139"/>
    <cellStyle name="강조색3 28" xfId="1140"/>
    <cellStyle name="강조색3 29" xfId="1141"/>
    <cellStyle name="강조색3 3" xfId="1142"/>
    <cellStyle name="강조색3 30" xfId="1143"/>
    <cellStyle name="강조색3 31" xfId="1144"/>
    <cellStyle name="강조색3 32" xfId="3282"/>
    <cellStyle name="강조색3 4" xfId="1145"/>
    <cellStyle name="강조색3 5" xfId="1146"/>
    <cellStyle name="강조색3 6" xfId="1147"/>
    <cellStyle name="강조색3 7" xfId="1148"/>
    <cellStyle name="강조색3 8" xfId="1149"/>
    <cellStyle name="강조색3 9" xfId="1150"/>
    <cellStyle name="강조색4 10" xfId="1151"/>
    <cellStyle name="강조색4 11" xfId="1152"/>
    <cellStyle name="강조색4 12" xfId="1153"/>
    <cellStyle name="강조색4 13" xfId="1154"/>
    <cellStyle name="강조색4 14" xfId="1155"/>
    <cellStyle name="강조색4 15" xfId="1156"/>
    <cellStyle name="강조색4 16" xfId="1157"/>
    <cellStyle name="강조색4 17" xfId="1158"/>
    <cellStyle name="강조색4 18" xfId="1159"/>
    <cellStyle name="강조색4 19" xfId="1160"/>
    <cellStyle name="강조색4 2" xfId="1161"/>
    <cellStyle name="강조색4 20" xfId="1162"/>
    <cellStyle name="강조색4 21" xfId="1163"/>
    <cellStyle name="강조색4 22" xfId="1164"/>
    <cellStyle name="강조색4 23" xfId="1165"/>
    <cellStyle name="강조색4 24" xfId="1166"/>
    <cellStyle name="강조색4 25" xfId="1167"/>
    <cellStyle name="강조색4 26" xfId="1168"/>
    <cellStyle name="강조색4 27" xfId="1169"/>
    <cellStyle name="강조색4 28" xfId="1170"/>
    <cellStyle name="강조색4 29" xfId="1171"/>
    <cellStyle name="강조색4 3" xfId="1172"/>
    <cellStyle name="강조색4 30" xfId="1173"/>
    <cellStyle name="강조색4 31" xfId="1174"/>
    <cellStyle name="강조색4 32" xfId="3283"/>
    <cellStyle name="강조색4 4" xfId="1175"/>
    <cellStyle name="강조색4 5" xfId="1176"/>
    <cellStyle name="강조색4 6" xfId="1177"/>
    <cellStyle name="강조색4 7" xfId="1178"/>
    <cellStyle name="강조색4 8" xfId="1179"/>
    <cellStyle name="강조색4 9" xfId="1180"/>
    <cellStyle name="강조색5 10" xfId="1181"/>
    <cellStyle name="강조색5 11" xfId="1182"/>
    <cellStyle name="강조색5 12" xfId="1183"/>
    <cellStyle name="강조색5 13" xfId="1184"/>
    <cellStyle name="강조색5 14" xfId="1185"/>
    <cellStyle name="강조색5 15" xfId="1186"/>
    <cellStyle name="강조색5 16" xfId="1187"/>
    <cellStyle name="강조색5 17" xfId="1188"/>
    <cellStyle name="강조색5 18" xfId="1189"/>
    <cellStyle name="강조색5 19" xfId="1190"/>
    <cellStyle name="강조색5 2" xfId="1191"/>
    <cellStyle name="강조색5 20" xfId="1192"/>
    <cellStyle name="강조색5 21" xfId="1193"/>
    <cellStyle name="강조색5 22" xfId="1194"/>
    <cellStyle name="강조색5 23" xfId="1195"/>
    <cellStyle name="강조색5 24" xfId="1196"/>
    <cellStyle name="강조색5 25" xfId="1197"/>
    <cellStyle name="강조색5 26" xfId="1198"/>
    <cellStyle name="강조색5 27" xfId="1199"/>
    <cellStyle name="강조색5 28" xfId="1200"/>
    <cellStyle name="강조색5 29" xfId="1201"/>
    <cellStyle name="강조색5 3" xfId="1202"/>
    <cellStyle name="강조색5 30" xfId="1203"/>
    <cellStyle name="강조색5 31" xfId="1204"/>
    <cellStyle name="강조색5 32" xfId="3284"/>
    <cellStyle name="강조색5 4" xfId="1205"/>
    <cellStyle name="강조색5 5" xfId="1206"/>
    <cellStyle name="강조색5 6" xfId="1207"/>
    <cellStyle name="강조색5 7" xfId="1208"/>
    <cellStyle name="강조색5 8" xfId="1209"/>
    <cellStyle name="강조색5 9" xfId="1210"/>
    <cellStyle name="강조색6 10" xfId="1211"/>
    <cellStyle name="강조색6 11" xfId="1212"/>
    <cellStyle name="강조색6 12" xfId="1213"/>
    <cellStyle name="강조색6 13" xfId="1214"/>
    <cellStyle name="강조색6 14" xfId="1215"/>
    <cellStyle name="강조색6 15" xfId="1216"/>
    <cellStyle name="강조색6 16" xfId="1217"/>
    <cellStyle name="강조색6 17" xfId="1218"/>
    <cellStyle name="강조색6 18" xfId="1219"/>
    <cellStyle name="강조색6 19" xfId="1220"/>
    <cellStyle name="강조색6 2" xfId="1221"/>
    <cellStyle name="강조색6 20" xfId="1222"/>
    <cellStyle name="강조색6 21" xfId="1223"/>
    <cellStyle name="강조색6 22" xfId="1224"/>
    <cellStyle name="강조색6 23" xfId="1225"/>
    <cellStyle name="강조색6 24" xfId="1226"/>
    <cellStyle name="강조색6 25" xfId="1227"/>
    <cellStyle name="강조색6 26" xfId="1228"/>
    <cellStyle name="강조색6 27" xfId="1229"/>
    <cellStyle name="강조색6 28" xfId="1230"/>
    <cellStyle name="강조색6 29" xfId="1231"/>
    <cellStyle name="강조색6 3" xfId="1232"/>
    <cellStyle name="강조색6 30" xfId="1233"/>
    <cellStyle name="강조색6 31" xfId="1234"/>
    <cellStyle name="강조색6 32" xfId="3285"/>
    <cellStyle name="강조색6 4" xfId="1235"/>
    <cellStyle name="강조색6 5" xfId="1236"/>
    <cellStyle name="강조색6 6" xfId="1237"/>
    <cellStyle name="강조색6 7" xfId="1238"/>
    <cellStyle name="강조색6 8" xfId="1239"/>
    <cellStyle name="강조색6 9" xfId="1240"/>
    <cellStyle name="검증" xfId="1241"/>
    <cellStyle name="경고문 10" xfId="1242"/>
    <cellStyle name="경고문 11" xfId="1243"/>
    <cellStyle name="경고문 12" xfId="1244"/>
    <cellStyle name="경고문 13" xfId="1245"/>
    <cellStyle name="경고문 14" xfId="1246"/>
    <cellStyle name="경고문 15" xfId="1247"/>
    <cellStyle name="경고문 16" xfId="1248"/>
    <cellStyle name="경고문 17" xfId="1249"/>
    <cellStyle name="경고문 18" xfId="1250"/>
    <cellStyle name="경고문 19" xfId="1251"/>
    <cellStyle name="경고문 2" xfId="1252"/>
    <cellStyle name="경고문 20" xfId="1253"/>
    <cellStyle name="경고문 21" xfId="1254"/>
    <cellStyle name="경고문 22" xfId="1255"/>
    <cellStyle name="경고문 23" xfId="1256"/>
    <cellStyle name="경고문 24" xfId="1257"/>
    <cellStyle name="경고문 25" xfId="1258"/>
    <cellStyle name="경고문 26" xfId="1259"/>
    <cellStyle name="경고문 27" xfId="1260"/>
    <cellStyle name="경고문 28" xfId="1261"/>
    <cellStyle name="경고문 29" xfId="1262"/>
    <cellStyle name="경고문 3" xfId="1263"/>
    <cellStyle name="경고문 30" xfId="1264"/>
    <cellStyle name="경고문 31" xfId="1265"/>
    <cellStyle name="경고문 32" xfId="3286"/>
    <cellStyle name="경고문 4" xfId="1266"/>
    <cellStyle name="경고문 5" xfId="1267"/>
    <cellStyle name="경고문 6" xfId="1268"/>
    <cellStyle name="경고문 7" xfId="1269"/>
    <cellStyle name="경고문 8" xfId="1270"/>
    <cellStyle name="경고문 9" xfId="1271"/>
    <cellStyle name="계산 10" xfId="1272"/>
    <cellStyle name="계산 11" xfId="1273"/>
    <cellStyle name="계산 12" xfId="1274"/>
    <cellStyle name="계산 13" xfId="1275"/>
    <cellStyle name="계산 14" xfId="1276"/>
    <cellStyle name="계산 15" xfId="1277"/>
    <cellStyle name="계산 16" xfId="1278"/>
    <cellStyle name="계산 17" xfId="1279"/>
    <cellStyle name="계산 18" xfId="1280"/>
    <cellStyle name="계산 19" xfId="1281"/>
    <cellStyle name="계산 2" xfId="1282"/>
    <cellStyle name="계산 20" xfId="1283"/>
    <cellStyle name="계산 21" xfId="1284"/>
    <cellStyle name="계산 22" xfId="1285"/>
    <cellStyle name="계산 23" xfId="1286"/>
    <cellStyle name="계산 24" xfId="1287"/>
    <cellStyle name="계산 25" xfId="1288"/>
    <cellStyle name="계산 26" xfId="1289"/>
    <cellStyle name="계산 27" xfId="1290"/>
    <cellStyle name="계산 28" xfId="1291"/>
    <cellStyle name="계산 29" xfId="1292"/>
    <cellStyle name="계산 3" xfId="1293"/>
    <cellStyle name="계산 30" xfId="1294"/>
    <cellStyle name="계산 31" xfId="1295"/>
    <cellStyle name="계산 32" xfId="3287"/>
    <cellStyle name="계산 4" xfId="1296"/>
    <cellStyle name="계산 5" xfId="1297"/>
    <cellStyle name="계산 6" xfId="1298"/>
    <cellStyle name="계산 7" xfId="1299"/>
    <cellStyle name="계산 8" xfId="1300"/>
    <cellStyle name="계산 9" xfId="1301"/>
    <cellStyle name="고정소숫점" xfId="1302"/>
    <cellStyle name="고정소숫점 2" xfId="3163"/>
    <cellStyle name="고정출력1" xfId="1303"/>
    <cellStyle name="고정출력1 2" xfId="3164"/>
    <cellStyle name="고정출력2" xfId="1304"/>
    <cellStyle name="고정출력2 2" xfId="3165"/>
    <cellStyle name="咬訌裝?INCOM1" xfId="1305"/>
    <cellStyle name="咬訌裝?INCOM10" xfId="1306"/>
    <cellStyle name="咬訌裝?INCOM2" xfId="1307"/>
    <cellStyle name="咬訌裝?INCOM3" xfId="1308"/>
    <cellStyle name="咬訌裝?INCOM4" xfId="1309"/>
    <cellStyle name="咬訌裝?INCOM5" xfId="1310"/>
    <cellStyle name="咬訌裝?INCOM6" xfId="1311"/>
    <cellStyle name="咬訌裝?INCOM7" xfId="1312"/>
    <cellStyle name="咬訌裝?INCOM8" xfId="1313"/>
    <cellStyle name="咬訌裝?INCOM9" xfId="1314"/>
    <cellStyle name="咬訌裝?PRIB11" xfId="1315"/>
    <cellStyle name="咬訌裝?report-2 " xfId="1316"/>
    <cellStyle name="금액" xfId="1317"/>
    <cellStyle name="금액 2" xfId="1318"/>
    <cellStyle name="금액 3" xfId="1319"/>
    <cellStyle name="금액 4" xfId="1320"/>
    <cellStyle name="금액 5" xfId="1321"/>
    <cellStyle name="금액 6" xfId="1322"/>
    <cellStyle name="금액 7" xfId="1323"/>
    <cellStyle name="나쁨 10" xfId="1324"/>
    <cellStyle name="나쁨 11" xfId="1325"/>
    <cellStyle name="나쁨 12" xfId="1326"/>
    <cellStyle name="나쁨 13" xfId="1327"/>
    <cellStyle name="나쁨 14" xfId="1328"/>
    <cellStyle name="나쁨 15" xfId="1329"/>
    <cellStyle name="나쁨 16" xfId="1330"/>
    <cellStyle name="나쁨 17" xfId="1331"/>
    <cellStyle name="나쁨 18" xfId="1332"/>
    <cellStyle name="나쁨 19" xfId="1333"/>
    <cellStyle name="나쁨 2" xfId="1334"/>
    <cellStyle name="나쁨 20" xfId="1335"/>
    <cellStyle name="나쁨 21" xfId="1336"/>
    <cellStyle name="나쁨 22" xfId="1337"/>
    <cellStyle name="나쁨 23" xfId="1338"/>
    <cellStyle name="나쁨 24" xfId="1339"/>
    <cellStyle name="나쁨 25" xfId="1340"/>
    <cellStyle name="나쁨 26" xfId="1341"/>
    <cellStyle name="나쁨 27" xfId="1342"/>
    <cellStyle name="나쁨 28" xfId="1343"/>
    <cellStyle name="나쁨 29" xfId="1344"/>
    <cellStyle name="나쁨 3" xfId="1345"/>
    <cellStyle name="나쁨 30" xfId="1346"/>
    <cellStyle name="나쁨 31" xfId="1347"/>
    <cellStyle name="나쁨 32" xfId="3288"/>
    <cellStyle name="나쁨 4" xfId="1348"/>
    <cellStyle name="나쁨 5" xfId="1349"/>
    <cellStyle name="나쁨 6" xfId="1350"/>
    <cellStyle name="나쁨 7" xfId="1351"/>
    <cellStyle name="나쁨 8" xfId="1352"/>
    <cellStyle name="나쁨 9" xfId="1353"/>
    <cellStyle name="날짜" xfId="1354"/>
    <cellStyle name="날짜 2" xfId="3166"/>
    <cellStyle name="년도" xfId="1355"/>
    <cellStyle name="년도 2" xfId="1356"/>
    <cellStyle name="년도 3" xfId="1357"/>
    <cellStyle name="년도 4" xfId="1358"/>
    <cellStyle name="년도 5" xfId="1359"/>
    <cellStyle name="년도 6" xfId="1360"/>
    <cellStyle name="년도 7" xfId="1361"/>
    <cellStyle name="달러" xfId="1362"/>
    <cellStyle name="달러 2" xfId="3167"/>
    <cellStyle name="뒤에 오는 하이퍼링크_010324_SP 종합관리 자료 ★" xfId="3168"/>
    <cellStyle name="똿떓죶ø? [0.00" xfId="1363"/>
    <cellStyle name="똿떓죶ø?_produ" xfId="1364"/>
    <cellStyle name="똿뗦먛귟 [0.00]_PRODUCT DETAIL Q1" xfId="1365"/>
    <cellStyle name="똿뗦먛귟_PRODUCT DETAIL Q1" xfId="1366"/>
    <cellStyle name="메모 10" xfId="1367"/>
    <cellStyle name="메모 11" xfId="1368"/>
    <cellStyle name="메모 12" xfId="1369"/>
    <cellStyle name="메모 13" xfId="1370"/>
    <cellStyle name="메모 14" xfId="1371"/>
    <cellStyle name="메모 15" xfId="1372"/>
    <cellStyle name="메모 16" xfId="1373"/>
    <cellStyle name="메모 17" xfId="1374"/>
    <cellStyle name="메모 18" xfId="1375"/>
    <cellStyle name="메모 19" xfId="1376"/>
    <cellStyle name="메모 2" xfId="1377"/>
    <cellStyle name="메모 2 2" xfId="1378"/>
    <cellStyle name="메모 20" xfId="1379"/>
    <cellStyle name="메모 21" xfId="1380"/>
    <cellStyle name="메모 22" xfId="1381"/>
    <cellStyle name="메모 23" xfId="1382"/>
    <cellStyle name="메모 24" xfId="1383"/>
    <cellStyle name="메모 25" xfId="1384"/>
    <cellStyle name="메모 26" xfId="1385"/>
    <cellStyle name="메모 27" xfId="1386"/>
    <cellStyle name="메모 28" xfId="1387"/>
    <cellStyle name="메모 29" xfId="1388"/>
    <cellStyle name="메모 3" xfId="1389"/>
    <cellStyle name="메모 3 2" xfId="1390"/>
    <cellStyle name="메모 30" xfId="1391"/>
    <cellStyle name="메모 31" xfId="3289"/>
    <cellStyle name="메모 4" xfId="1392"/>
    <cellStyle name="메모 5" xfId="1393"/>
    <cellStyle name="메모 6" xfId="1394"/>
    <cellStyle name="메모 7" xfId="1395"/>
    <cellStyle name="메모 8" xfId="1396"/>
    <cellStyle name="메모 9" xfId="1397"/>
    <cellStyle name="메시지" xfId="1398"/>
    <cellStyle name="문자열" xfId="3169"/>
    <cellStyle name="믅됞 [0.00]_PRODUCT DETAIL Q1" xfId="1399"/>
    <cellStyle name="믅됞_PRODUCT DETAIL Q1" xfId="1400"/>
    <cellStyle name="백분율" xfId="1401" builtinId="5"/>
    <cellStyle name="백분율 14" xfId="1402"/>
    <cellStyle name="백분율 14 2" xfId="1403"/>
    <cellStyle name="백분율 14 3" xfId="1404"/>
    <cellStyle name="백분율 14 4" xfId="1405"/>
    <cellStyle name="백분율 15" xfId="1406"/>
    <cellStyle name="백분율 16" xfId="1407"/>
    <cellStyle name="백분율 16 2" xfId="1408"/>
    <cellStyle name="백분율 16 3" xfId="1409"/>
    <cellStyle name="백분율 16 4" xfId="1410"/>
    <cellStyle name="백분율 16 5" xfId="1411"/>
    <cellStyle name="백분율 16 6" xfId="1412"/>
    <cellStyle name="백분율 16 7" xfId="1413"/>
    <cellStyle name="백분율 16 8" xfId="1414"/>
    <cellStyle name="백분율 16 9" xfId="1415"/>
    <cellStyle name="백분율 17" xfId="1416"/>
    <cellStyle name="백분율 2" xfId="1417"/>
    <cellStyle name="백분율 2 10" xfId="1418"/>
    <cellStyle name="백분율 2 11" xfId="1419"/>
    <cellStyle name="백분율 2 12" xfId="1420"/>
    <cellStyle name="백분율 2 2" xfId="1421"/>
    <cellStyle name="백분율 2 3" xfId="1422"/>
    <cellStyle name="백분율 2 4" xfId="1423"/>
    <cellStyle name="백분율 2 5" xfId="1424"/>
    <cellStyle name="백분율 2 6" xfId="1425"/>
    <cellStyle name="백분율 2 7" xfId="1426"/>
    <cellStyle name="백분율 2 8" xfId="1427"/>
    <cellStyle name="백분율 2 9" xfId="1428"/>
    <cellStyle name="백분율 3" xfId="3170"/>
    <cellStyle name="백분율 4" xfId="3257"/>
    <cellStyle name="백분율 53" xfId="1429"/>
    <cellStyle name="백분율 55" xfId="1430"/>
    <cellStyle name="보고서" xfId="1431"/>
    <cellStyle name="보고서 2" xfId="1432"/>
    <cellStyle name="보고서 3" xfId="1433"/>
    <cellStyle name="보고서 4" xfId="1434"/>
    <cellStyle name="보고서 5" xfId="1435"/>
    <cellStyle name="보고서 6" xfId="1436"/>
    <cellStyle name="보고서 7" xfId="1437"/>
    <cellStyle name="보통 10" xfId="1438"/>
    <cellStyle name="보통 11" xfId="1439"/>
    <cellStyle name="보통 12" xfId="1440"/>
    <cellStyle name="보통 13" xfId="1441"/>
    <cellStyle name="보통 14" xfId="1442"/>
    <cellStyle name="보통 15" xfId="1443"/>
    <cellStyle name="보통 16" xfId="1444"/>
    <cellStyle name="보통 17" xfId="1445"/>
    <cellStyle name="보통 18" xfId="1446"/>
    <cellStyle name="보통 19" xfId="1447"/>
    <cellStyle name="보통 2" xfId="1448"/>
    <cellStyle name="보통 20" xfId="1449"/>
    <cellStyle name="보통 21" xfId="1450"/>
    <cellStyle name="보통 22" xfId="1451"/>
    <cellStyle name="보통 23" xfId="1452"/>
    <cellStyle name="보통 24" xfId="1453"/>
    <cellStyle name="보통 25" xfId="1454"/>
    <cellStyle name="보통 26" xfId="1455"/>
    <cellStyle name="보통 27" xfId="1456"/>
    <cellStyle name="보통 28" xfId="1457"/>
    <cellStyle name="보통 29" xfId="1458"/>
    <cellStyle name="보통 3" xfId="1459"/>
    <cellStyle name="보통 30" xfId="1460"/>
    <cellStyle name="보통 31" xfId="1461"/>
    <cellStyle name="보통 32" xfId="3290"/>
    <cellStyle name="보통 4" xfId="1462"/>
    <cellStyle name="보통 5" xfId="1463"/>
    <cellStyle name="보통 6" xfId="1464"/>
    <cellStyle name="보통 7" xfId="1465"/>
    <cellStyle name="보통 8" xfId="1466"/>
    <cellStyle name="보통 9" xfId="1467"/>
    <cellStyle name="뷭?_BOOKSHIP" xfId="1468"/>
    <cellStyle name="븏?_bookship" xfId="1469"/>
    <cellStyle name="사용자" xfId="1470"/>
    <cellStyle name="새귑[0]_롤痰삠悧 " xfId="1471"/>
    <cellStyle name="새귑_롤痰삠悧 " xfId="1472"/>
    <cellStyle name="설명 텍스트 10" xfId="1473"/>
    <cellStyle name="설명 텍스트 11" xfId="1474"/>
    <cellStyle name="설명 텍스트 12" xfId="1475"/>
    <cellStyle name="설명 텍스트 13" xfId="1476"/>
    <cellStyle name="설명 텍스트 14" xfId="1477"/>
    <cellStyle name="설명 텍스트 15" xfId="1478"/>
    <cellStyle name="설명 텍스트 16" xfId="1479"/>
    <cellStyle name="설명 텍스트 17" xfId="1480"/>
    <cellStyle name="설명 텍스트 18" xfId="1481"/>
    <cellStyle name="설명 텍스트 19" xfId="1482"/>
    <cellStyle name="설명 텍스트 2" xfId="1483"/>
    <cellStyle name="설명 텍스트 20" xfId="1484"/>
    <cellStyle name="설명 텍스트 21" xfId="1485"/>
    <cellStyle name="설명 텍스트 22" xfId="1486"/>
    <cellStyle name="설명 텍스트 23" xfId="1487"/>
    <cellStyle name="설명 텍스트 24" xfId="1488"/>
    <cellStyle name="설명 텍스트 25" xfId="1489"/>
    <cellStyle name="설명 텍스트 26" xfId="1490"/>
    <cellStyle name="설명 텍스트 27" xfId="1491"/>
    <cellStyle name="설명 텍스트 28" xfId="1492"/>
    <cellStyle name="설명 텍스트 29" xfId="1493"/>
    <cellStyle name="설명 텍스트 3" xfId="1494"/>
    <cellStyle name="설명 텍스트 30" xfId="1495"/>
    <cellStyle name="설명 텍스트 31" xfId="1496"/>
    <cellStyle name="설명 텍스트 32" xfId="3291"/>
    <cellStyle name="설명 텍스트 4" xfId="1497"/>
    <cellStyle name="설명 텍스트 5" xfId="1498"/>
    <cellStyle name="설명 텍스트 6" xfId="1499"/>
    <cellStyle name="설명 텍스트 7" xfId="1500"/>
    <cellStyle name="설명 텍스트 8" xfId="1501"/>
    <cellStyle name="설명 텍스트 9" xfId="1502"/>
    <cellStyle name="셀 확인 10" xfId="1503"/>
    <cellStyle name="셀 확인 11" xfId="1504"/>
    <cellStyle name="셀 확인 12" xfId="1505"/>
    <cellStyle name="셀 확인 13" xfId="1506"/>
    <cellStyle name="셀 확인 14" xfId="1507"/>
    <cellStyle name="셀 확인 15" xfId="1508"/>
    <cellStyle name="셀 확인 16" xfId="1509"/>
    <cellStyle name="셀 확인 17" xfId="1510"/>
    <cellStyle name="셀 확인 18" xfId="1511"/>
    <cellStyle name="셀 확인 19" xfId="1512"/>
    <cellStyle name="셀 확인 2" xfId="1513"/>
    <cellStyle name="셀 확인 20" xfId="1514"/>
    <cellStyle name="셀 확인 21" xfId="1515"/>
    <cellStyle name="셀 확인 22" xfId="1516"/>
    <cellStyle name="셀 확인 23" xfId="1517"/>
    <cellStyle name="셀 확인 24" xfId="1518"/>
    <cellStyle name="셀 확인 25" xfId="1519"/>
    <cellStyle name="셀 확인 26" xfId="1520"/>
    <cellStyle name="셀 확인 27" xfId="1521"/>
    <cellStyle name="셀 확인 28" xfId="1522"/>
    <cellStyle name="셀 확인 29" xfId="1523"/>
    <cellStyle name="셀 확인 3" xfId="1524"/>
    <cellStyle name="셀 확인 30" xfId="1525"/>
    <cellStyle name="셀 확인 31" xfId="1526"/>
    <cellStyle name="셀 확인 32" xfId="3292"/>
    <cellStyle name="셀 확인 4" xfId="1527"/>
    <cellStyle name="셀 확인 5" xfId="1528"/>
    <cellStyle name="셀 확인 6" xfId="1529"/>
    <cellStyle name="셀 확인 7" xfId="1530"/>
    <cellStyle name="셀 확인 8" xfId="1531"/>
    <cellStyle name="셀 확인 9" xfId="1532"/>
    <cellStyle name="숫자" xfId="1533"/>
    <cellStyle name="숫자 2" xfId="1534"/>
    <cellStyle name="숫자 2 2" xfId="3171"/>
    <cellStyle name="숫자 3" xfId="1535"/>
    <cellStyle name="숫자 4" xfId="1536"/>
    <cellStyle name="숫자 5" xfId="1537"/>
    <cellStyle name="숫자 6" xfId="1538"/>
    <cellStyle name="숫자 7" xfId="1539"/>
    <cellStyle name="쉼표 [0]" xfId="1540" builtinId="6"/>
    <cellStyle name="쉼표 [0] 10 2" xfId="3172"/>
    <cellStyle name="쉼표 [0] 13" xfId="1541"/>
    <cellStyle name="쉼표 [0] 14" xfId="1542"/>
    <cellStyle name="쉼표 [0] 16" xfId="1543"/>
    <cellStyle name="쉼표 [0] 16 2" xfId="1544"/>
    <cellStyle name="쉼표 [0] 16 3" xfId="1545"/>
    <cellStyle name="쉼표 [0] 16 4" xfId="1546"/>
    <cellStyle name="쉼표 [0] 16 5" xfId="1547"/>
    <cellStyle name="쉼표 [0] 2" xfId="1548"/>
    <cellStyle name="쉼표 [0] 2 10" xfId="1549"/>
    <cellStyle name="쉼표 [0] 2 11" xfId="1550"/>
    <cellStyle name="쉼표 [0] 2 12" xfId="1551"/>
    <cellStyle name="쉼표 [0] 2 13" xfId="1552"/>
    <cellStyle name="쉼표 [0] 2 14" xfId="1553"/>
    <cellStyle name="쉼표 [0] 2 15" xfId="1554"/>
    <cellStyle name="쉼표 [0] 2 2" xfId="1555"/>
    <cellStyle name="쉼표 [0] 2 2 10" xfId="1556"/>
    <cellStyle name="쉼표 [0] 2 2 11" xfId="1557"/>
    <cellStyle name="쉼표 [0] 2 2 12" xfId="1558"/>
    <cellStyle name="쉼표 [0] 2 2 13" xfId="1559"/>
    <cellStyle name="쉼표 [0] 2 2 14" xfId="3173"/>
    <cellStyle name="쉼표 [0] 2 2 2" xfId="1560"/>
    <cellStyle name="쉼표 [0] 2 2 3" xfId="1561"/>
    <cellStyle name="쉼표 [0] 2 2 4" xfId="1562"/>
    <cellStyle name="쉼표 [0] 2 2 5" xfId="1563"/>
    <cellStyle name="쉼표 [0] 2 2 6" xfId="1564"/>
    <cellStyle name="쉼표 [0] 2 2 7" xfId="1565"/>
    <cellStyle name="쉼표 [0] 2 2 8" xfId="1566"/>
    <cellStyle name="쉼표 [0] 2 2 9" xfId="1567"/>
    <cellStyle name="쉼표 [0] 2 3" xfId="1568"/>
    <cellStyle name="쉼표 [0] 2 3 2" xfId="3175"/>
    <cellStyle name="쉼표 [0] 2 3 3" xfId="3176"/>
    <cellStyle name="쉼표 [0] 2 3 4" xfId="3177"/>
    <cellStyle name="쉼표 [0] 2 3 5" xfId="3174"/>
    <cellStyle name="쉼표 [0] 2 4" xfId="1569"/>
    <cellStyle name="쉼표 [0] 2 5" xfId="1570"/>
    <cellStyle name="쉼표 [0] 2 6" xfId="1571"/>
    <cellStyle name="쉼표 [0] 2 7" xfId="1572"/>
    <cellStyle name="쉼표 [0] 2 8" xfId="1573"/>
    <cellStyle name="쉼표 [0] 2 9" xfId="1574"/>
    <cellStyle name="쉼표 [0] 26" xfId="1575"/>
    <cellStyle name="쉼표 [0] 27" xfId="1576"/>
    <cellStyle name="쉼표 [0] 27 10" xfId="1577"/>
    <cellStyle name="쉼표 [0] 27 2" xfId="1578"/>
    <cellStyle name="쉼표 [0] 27 3" xfId="1579"/>
    <cellStyle name="쉼표 [0] 27 4" xfId="1580"/>
    <cellStyle name="쉼표 [0] 27 5" xfId="1581"/>
    <cellStyle name="쉼표 [0] 27 6" xfId="1582"/>
    <cellStyle name="쉼표 [0] 27 7" xfId="1583"/>
    <cellStyle name="쉼표 [0] 27 8" xfId="1584"/>
    <cellStyle name="쉼표 [0] 27 9" xfId="1585"/>
    <cellStyle name="쉼표 [0] 28" xfId="1586"/>
    <cellStyle name="쉼표 [0] 29" xfId="1587"/>
    <cellStyle name="쉼표 [0] 3" xfId="3178"/>
    <cellStyle name="쉼표 [0] 3 10" xfId="1588"/>
    <cellStyle name="쉼표 [0] 3 11" xfId="1589"/>
    <cellStyle name="쉼표 [0] 3 12" xfId="1590"/>
    <cellStyle name="쉼표 [0] 3 13" xfId="1591"/>
    <cellStyle name="쉼표 [0] 3 14" xfId="1592"/>
    <cellStyle name="쉼표 [0] 3 2" xfId="1593"/>
    <cellStyle name="쉼표 [0] 3 2 10" xfId="1594"/>
    <cellStyle name="쉼표 [0] 3 2 11" xfId="1595"/>
    <cellStyle name="쉼표 [0] 3 2 12" xfId="1596"/>
    <cellStyle name="쉼표 [0] 3 2 2" xfId="1597"/>
    <cellStyle name="쉼표 [0] 3 2 3" xfId="1598"/>
    <cellStyle name="쉼표 [0] 3 2 4" xfId="1599"/>
    <cellStyle name="쉼표 [0] 3 2 5" xfId="1600"/>
    <cellStyle name="쉼표 [0] 3 2 6" xfId="1601"/>
    <cellStyle name="쉼표 [0] 3 2 7" xfId="1602"/>
    <cellStyle name="쉼표 [0] 3 2 8" xfId="1603"/>
    <cellStyle name="쉼표 [0] 3 2 9" xfId="1604"/>
    <cellStyle name="쉼표 [0] 3 3" xfId="1605"/>
    <cellStyle name="쉼표 [0] 3 3 2" xfId="3180"/>
    <cellStyle name="쉼표 [0] 3 3 2 2" xfId="3181"/>
    <cellStyle name="쉼표 [0] 3 3 2 3" xfId="3182"/>
    <cellStyle name="쉼표 [0] 3 3 3" xfId="3183"/>
    <cellStyle name="쉼표 [0] 3 3 3 2" xfId="3184"/>
    <cellStyle name="쉼표 [0] 3 3 3 3" xfId="3185"/>
    <cellStyle name="쉼표 [0] 3 3 4" xfId="3186"/>
    <cellStyle name="쉼표 [0] 3 3 5" xfId="3187"/>
    <cellStyle name="쉼표 [0] 3 3 6" xfId="3179"/>
    <cellStyle name="쉼표 [0] 3 4" xfId="1606"/>
    <cellStyle name="쉼표 [0] 3 4 2" xfId="3189"/>
    <cellStyle name="쉼표 [0] 3 4 2 2" xfId="3190"/>
    <cellStyle name="쉼표 [0] 3 4 2 3" xfId="3191"/>
    <cellStyle name="쉼표 [0] 3 4 3" xfId="3192"/>
    <cellStyle name="쉼표 [0] 3 4 4" xfId="3193"/>
    <cellStyle name="쉼표 [0] 3 4 5" xfId="3188"/>
    <cellStyle name="쉼표 [0] 3 5" xfId="1607"/>
    <cellStyle name="쉼표 [0] 3 5 2" xfId="3195"/>
    <cellStyle name="쉼표 [0] 3 5 3" xfId="3196"/>
    <cellStyle name="쉼표 [0] 3 5 4" xfId="3194"/>
    <cellStyle name="쉼표 [0] 3 6" xfId="1608"/>
    <cellStyle name="쉼표 [0] 3 7" xfId="1609"/>
    <cellStyle name="쉼표 [0] 3 8" xfId="1610"/>
    <cellStyle name="쉼표 [0] 3 9" xfId="1611"/>
    <cellStyle name="쉼표 [0] 36" xfId="1612"/>
    <cellStyle name="쉼표 [0] 4" xfId="3197"/>
    <cellStyle name="쉼표 [0] 4 2" xfId="1613"/>
    <cellStyle name="쉼표 [0] 4 3" xfId="3293"/>
    <cellStyle name="쉼표 [0] 44" xfId="1614"/>
    <cellStyle name="쉼표 [0] 45" xfId="1615"/>
    <cellStyle name="쉼표 [0] 46" xfId="1616"/>
    <cellStyle name="쉼표 [0] 47" xfId="1617"/>
    <cellStyle name="쉼표 [0] 48" xfId="1618"/>
    <cellStyle name="쉼표 [0] 49" xfId="1619"/>
    <cellStyle name="쉼표 [0] 5" xfId="3198"/>
    <cellStyle name="쉼표 [0] 5 2" xfId="1620"/>
    <cellStyle name="쉼표 [0] 5 2 2" xfId="3200"/>
    <cellStyle name="쉼표 [0] 5 2 2 2" xfId="3201"/>
    <cellStyle name="쉼표 [0] 5 2 2 3" xfId="3202"/>
    <cellStyle name="쉼표 [0] 5 2 3" xfId="3203"/>
    <cellStyle name="쉼표 [0] 5 2 3 2" xfId="3204"/>
    <cellStyle name="쉼표 [0] 5 2 3 2 2" xfId="3205"/>
    <cellStyle name="쉼표 [0] 5 2 3 2 3" xfId="3206"/>
    <cellStyle name="쉼표 [0] 5 2 3 3" xfId="3207"/>
    <cellStyle name="쉼표 [0] 5 2 3 4" xfId="3208"/>
    <cellStyle name="쉼표 [0] 5 2 4" xfId="3209"/>
    <cellStyle name="쉼표 [0] 5 2 5" xfId="3210"/>
    <cellStyle name="쉼표 [0] 5 2 6" xfId="3199"/>
    <cellStyle name="쉼표 [0] 5 3" xfId="3211"/>
    <cellStyle name="쉼표 [0] 5 3 2" xfId="3212"/>
    <cellStyle name="쉼표 [0] 5 3 3" xfId="3213"/>
    <cellStyle name="쉼표 [0] 5 4" xfId="3214"/>
    <cellStyle name="쉼표 [0] 5 5" xfId="3215"/>
    <cellStyle name="쉼표 [0] 54" xfId="1621"/>
    <cellStyle name="쉼표 [0] 56" xfId="1622"/>
    <cellStyle name="쉼표 [0] 58" xfId="1623"/>
    <cellStyle name="쉼표 [0] 59" xfId="1624"/>
    <cellStyle name="쉼표 [0] 6" xfId="3216"/>
    <cellStyle name="쉼표 [0] 6 2" xfId="3217"/>
    <cellStyle name="쉼표 [0] 6 2 2" xfId="3218"/>
    <cellStyle name="쉼표 [0] 6 2 3" xfId="3219"/>
    <cellStyle name="쉼표 [0] 6 3" xfId="3220"/>
    <cellStyle name="쉼표 [0] 6 4" xfId="3221"/>
    <cellStyle name="쉼표 [0] 62" xfId="1625"/>
    <cellStyle name="쉼표 [0] 7" xfId="3222"/>
    <cellStyle name="쉼표 [0] 7 2" xfId="3223"/>
    <cellStyle name="쉼표 [0] 7 3" xfId="3224"/>
    <cellStyle name="쉼표 [0] 8" xfId="3225"/>
    <cellStyle name="쉼표 [0] 8 2" xfId="3226"/>
    <cellStyle name="쉼표 [0] 8 3" xfId="3227"/>
    <cellStyle name="쉼표 [0] 9" xfId="3258"/>
    <cellStyle name="쉼표 [0]_Fact Book (2008 3Q)_Kor" xfId="1626"/>
    <cellStyle name="쉼표 [0]_충당금예측" xfId="1627"/>
    <cellStyle name="쉼표 [0]_카드부분" xfId="1628"/>
    <cellStyle name="스타일 1" xfId="1629"/>
    <cellStyle name="스타일 2" xfId="1630"/>
    <cellStyle name="스타일 2 10" xfId="1631"/>
    <cellStyle name="스타일 2 11" xfId="1632"/>
    <cellStyle name="스타일 2 11 2" xfId="1633"/>
    <cellStyle name="스타일 2 11 3" xfId="1634"/>
    <cellStyle name="스타일 2 11 4" xfId="1635"/>
    <cellStyle name="스타일 2 11 5" xfId="1636"/>
    <cellStyle name="스타일 2 11 6" xfId="1637"/>
    <cellStyle name="스타일 2 11 7" xfId="1638"/>
    <cellStyle name="스타일 2 11 8" xfId="1639"/>
    <cellStyle name="스타일 2 11 9" xfId="1640"/>
    <cellStyle name="스타일 2 12" xfId="1641"/>
    <cellStyle name="스타일 2 12 2" xfId="1642"/>
    <cellStyle name="스타일 2 12 3" xfId="1643"/>
    <cellStyle name="스타일 2 12 4" xfId="1644"/>
    <cellStyle name="스타일 2 12 5" xfId="1645"/>
    <cellStyle name="스타일 2 12 6" xfId="1646"/>
    <cellStyle name="스타일 2 12 7" xfId="1647"/>
    <cellStyle name="스타일 2 12 8" xfId="1648"/>
    <cellStyle name="스타일 2 12 9" xfId="1649"/>
    <cellStyle name="스타일 2 13" xfId="1650"/>
    <cellStyle name="스타일 2 13 2" xfId="1651"/>
    <cellStyle name="스타일 2 13 3" xfId="1652"/>
    <cellStyle name="스타일 2 13 4" xfId="1653"/>
    <cellStyle name="스타일 2 13 5" xfId="1654"/>
    <cellStyle name="스타일 2 13 6" xfId="1655"/>
    <cellStyle name="스타일 2 13 7" xfId="1656"/>
    <cellStyle name="스타일 2 13 8" xfId="1657"/>
    <cellStyle name="스타일 2 13 9" xfId="1658"/>
    <cellStyle name="스타일 2 14" xfId="1659"/>
    <cellStyle name="스타일 2 15" xfId="1660"/>
    <cellStyle name="스타일 2 16" xfId="1661"/>
    <cellStyle name="스타일 2 17" xfId="1662"/>
    <cellStyle name="스타일 2 18" xfId="1663"/>
    <cellStyle name="스타일 2 19" xfId="1664"/>
    <cellStyle name="스타일 2 2" xfId="1665"/>
    <cellStyle name="스타일 2 2 10" xfId="1666"/>
    <cellStyle name="스타일 2 2 11" xfId="1667"/>
    <cellStyle name="스타일 2 2 12" xfId="1668"/>
    <cellStyle name="스타일 2 2 2" xfId="1669"/>
    <cellStyle name="스타일 2 2 3" xfId="1670"/>
    <cellStyle name="스타일 2 2 4" xfId="1671"/>
    <cellStyle name="스타일 2 2 5" xfId="1672"/>
    <cellStyle name="스타일 2 2 6" xfId="1673"/>
    <cellStyle name="스타일 2 2 7" xfId="1674"/>
    <cellStyle name="스타일 2 2 8" xfId="1675"/>
    <cellStyle name="스타일 2 2 9" xfId="1676"/>
    <cellStyle name="스타일 2 20" xfId="1677"/>
    <cellStyle name="스타일 2 21" xfId="1678"/>
    <cellStyle name="스타일 2 22" xfId="1679"/>
    <cellStyle name="스타일 2 23" xfId="1680"/>
    <cellStyle name="스타일 2 3" xfId="1681"/>
    <cellStyle name="스타일 2 4" xfId="1682"/>
    <cellStyle name="스타일 2 5" xfId="1683"/>
    <cellStyle name="스타일 2 6" xfId="1684"/>
    <cellStyle name="스타일 2 7" xfId="1685"/>
    <cellStyle name="스타일 2 8" xfId="1686"/>
    <cellStyle name="스타일 2 9" xfId="1687"/>
    <cellStyle name="스타일 3" xfId="1688"/>
    <cellStyle name="스타일 3 2" xfId="1689"/>
    <cellStyle name="스타일 3 2 2" xfId="1690"/>
    <cellStyle name="스타일 3 3" xfId="1691"/>
    <cellStyle name="스타일 4" xfId="1692"/>
    <cellStyle name="스타일 5" xfId="1693"/>
    <cellStyle name="스타일 5 2" xfId="1694"/>
    <cellStyle name="스타일 5 2 2" xfId="1695"/>
    <cellStyle name="스타일 5 3" xfId="1696"/>
    <cellStyle name="스타일 6" xfId="1697"/>
    <cellStyle name="스타일 6 2" xfId="3228"/>
    <cellStyle name="스타일 7" xfId="1698"/>
    <cellStyle name="스타일 8" xfId="1699"/>
    <cellStyle name="식" xfId="1700"/>
    <cellStyle name="십억단위" xfId="3229"/>
    <cellStyle name="안건회계법인" xfId="1701"/>
    <cellStyle name="연결된 셀 10" xfId="1702"/>
    <cellStyle name="연결된 셀 11" xfId="1703"/>
    <cellStyle name="연결된 셀 12" xfId="1704"/>
    <cellStyle name="연결된 셀 13" xfId="1705"/>
    <cellStyle name="연결된 셀 14" xfId="1706"/>
    <cellStyle name="연결된 셀 15" xfId="1707"/>
    <cellStyle name="연결된 셀 16" xfId="1708"/>
    <cellStyle name="연결된 셀 17" xfId="1709"/>
    <cellStyle name="연결된 셀 18" xfId="1710"/>
    <cellStyle name="연결된 셀 19" xfId="1711"/>
    <cellStyle name="연결된 셀 2" xfId="1712"/>
    <cellStyle name="연결된 셀 20" xfId="1713"/>
    <cellStyle name="연결된 셀 21" xfId="1714"/>
    <cellStyle name="연결된 셀 22" xfId="1715"/>
    <cellStyle name="연결된 셀 23" xfId="1716"/>
    <cellStyle name="연결된 셀 24" xfId="1717"/>
    <cellStyle name="연결된 셀 25" xfId="1718"/>
    <cellStyle name="연결된 셀 26" xfId="1719"/>
    <cellStyle name="연결된 셀 27" xfId="1720"/>
    <cellStyle name="연결된 셀 28" xfId="1721"/>
    <cellStyle name="연결된 셀 29" xfId="1722"/>
    <cellStyle name="연결된 셀 3" xfId="1723"/>
    <cellStyle name="연결된 셀 30" xfId="1724"/>
    <cellStyle name="연결된 셀 31" xfId="1725"/>
    <cellStyle name="연결된 셀 32" xfId="3294"/>
    <cellStyle name="연결된 셀 4" xfId="1726"/>
    <cellStyle name="연결된 셀 5" xfId="1727"/>
    <cellStyle name="연결된 셀 6" xfId="1728"/>
    <cellStyle name="연결된 셀 7" xfId="1729"/>
    <cellStyle name="연결된 셀 8" xfId="1730"/>
    <cellStyle name="연결된 셀 9" xfId="1731"/>
    <cellStyle name="열어본 하이퍼링크" xfId="3230"/>
    <cellStyle name="요약 10" xfId="1732"/>
    <cellStyle name="요약 11" xfId="1733"/>
    <cellStyle name="요약 12" xfId="1734"/>
    <cellStyle name="요약 13" xfId="1735"/>
    <cellStyle name="요약 14" xfId="1736"/>
    <cellStyle name="요약 15" xfId="1737"/>
    <cellStyle name="요약 16" xfId="1738"/>
    <cellStyle name="요약 17" xfId="1739"/>
    <cellStyle name="요약 18" xfId="1740"/>
    <cellStyle name="요약 19" xfId="1741"/>
    <cellStyle name="요약 2" xfId="1742"/>
    <cellStyle name="요약 20" xfId="1743"/>
    <cellStyle name="요약 21" xfId="1744"/>
    <cellStyle name="요약 22" xfId="1745"/>
    <cellStyle name="요약 23" xfId="1746"/>
    <cellStyle name="요약 24" xfId="1747"/>
    <cellStyle name="요약 25" xfId="1748"/>
    <cellStyle name="요약 26" xfId="1749"/>
    <cellStyle name="요약 27" xfId="1750"/>
    <cellStyle name="요약 28" xfId="1751"/>
    <cellStyle name="요약 29" xfId="1752"/>
    <cellStyle name="요약 3" xfId="1753"/>
    <cellStyle name="요약 30" xfId="1754"/>
    <cellStyle name="요약 31" xfId="1755"/>
    <cellStyle name="요약 32" xfId="3295"/>
    <cellStyle name="요약 4" xfId="1756"/>
    <cellStyle name="요약 5" xfId="1757"/>
    <cellStyle name="요약 6" xfId="1758"/>
    <cellStyle name="요약 7" xfId="1759"/>
    <cellStyle name="요약 8" xfId="1760"/>
    <cellStyle name="요약 9" xfId="1761"/>
    <cellStyle name="원" xfId="1762"/>
    <cellStyle name="원_손익계산서(05년6월)_2" xfId="1763"/>
    <cellStyle name="원통화" xfId="1764"/>
    <cellStyle name="유입" xfId="1765"/>
    <cellStyle name="一般_GARMENT STEP FORM HK" xfId="1766"/>
    <cellStyle name="입력 10" xfId="1767"/>
    <cellStyle name="입력 11" xfId="1768"/>
    <cellStyle name="입력 12" xfId="1769"/>
    <cellStyle name="입력 13" xfId="1770"/>
    <cellStyle name="입력 14" xfId="1771"/>
    <cellStyle name="입력 15" xfId="1772"/>
    <cellStyle name="입력 16" xfId="1773"/>
    <cellStyle name="입력 17" xfId="1774"/>
    <cellStyle name="입력 18" xfId="1775"/>
    <cellStyle name="입력 19" xfId="1776"/>
    <cellStyle name="입력 2" xfId="1777"/>
    <cellStyle name="입력 20" xfId="1778"/>
    <cellStyle name="입력 21" xfId="1779"/>
    <cellStyle name="입력 22" xfId="1780"/>
    <cellStyle name="입력 23" xfId="1781"/>
    <cellStyle name="입력 24" xfId="1782"/>
    <cellStyle name="입력 25" xfId="1783"/>
    <cellStyle name="입력 26" xfId="1784"/>
    <cellStyle name="입력 27" xfId="1785"/>
    <cellStyle name="입력 28" xfId="1786"/>
    <cellStyle name="입력 29" xfId="1787"/>
    <cellStyle name="입력 3" xfId="1788"/>
    <cellStyle name="입력 30" xfId="1789"/>
    <cellStyle name="입력 31" xfId="1790"/>
    <cellStyle name="입력 32" xfId="3296"/>
    <cellStyle name="입력 4" xfId="1791"/>
    <cellStyle name="입력 5" xfId="1792"/>
    <cellStyle name="입력 6" xfId="1793"/>
    <cellStyle name="입력 7" xfId="1794"/>
    <cellStyle name="입력 8" xfId="1795"/>
    <cellStyle name="입력 9" xfId="1796"/>
    <cellStyle name="자리수" xfId="1797"/>
    <cellStyle name="자리수0" xfId="1798"/>
    <cellStyle name="제목" xfId="1799" builtinId="15" customBuiltin="1"/>
    <cellStyle name="제목 1 10" xfId="1800"/>
    <cellStyle name="제목 1 11" xfId="1801"/>
    <cellStyle name="제목 1 12" xfId="1802"/>
    <cellStyle name="제목 1 13" xfId="1803"/>
    <cellStyle name="제목 1 14" xfId="1804"/>
    <cellStyle name="제목 1 15" xfId="1805"/>
    <cellStyle name="제목 1 16" xfId="1806"/>
    <cellStyle name="제목 1 17" xfId="1807"/>
    <cellStyle name="제목 1 18" xfId="1808"/>
    <cellStyle name="제목 1 19" xfId="1809"/>
    <cellStyle name="제목 1 2" xfId="1810"/>
    <cellStyle name="제목 1 20" xfId="1811"/>
    <cellStyle name="제목 1 21" xfId="1812"/>
    <cellStyle name="제목 1 22" xfId="1813"/>
    <cellStyle name="제목 1 23" xfId="1814"/>
    <cellStyle name="제목 1 24" xfId="1815"/>
    <cellStyle name="제목 1 25" xfId="1816"/>
    <cellStyle name="제목 1 26" xfId="1817"/>
    <cellStyle name="제목 1 27" xfId="1818"/>
    <cellStyle name="제목 1 28" xfId="1819"/>
    <cellStyle name="제목 1 29" xfId="1820"/>
    <cellStyle name="제목 1 3" xfId="1821"/>
    <cellStyle name="제목 1 30" xfId="1822"/>
    <cellStyle name="제목 1 31" xfId="1823"/>
    <cellStyle name="제목 1 32" xfId="3298"/>
    <cellStyle name="제목 1 4" xfId="1824"/>
    <cellStyle name="제목 1 5" xfId="1825"/>
    <cellStyle name="제목 1 6" xfId="1826"/>
    <cellStyle name="제목 1 7" xfId="1827"/>
    <cellStyle name="제목 1 8" xfId="1828"/>
    <cellStyle name="제목 1 9" xfId="1829"/>
    <cellStyle name="제목 10" xfId="1830"/>
    <cellStyle name="제목 11" xfId="1831"/>
    <cellStyle name="제목 12" xfId="1832"/>
    <cellStyle name="제목 13" xfId="1833"/>
    <cellStyle name="제목 14" xfId="1834"/>
    <cellStyle name="제목 15" xfId="1835"/>
    <cellStyle name="제목 16" xfId="1836"/>
    <cellStyle name="제목 17" xfId="1837"/>
    <cellStyle name="제목 18" xfId="1838"/>
    <cellStyle name="제목 19" xfId="1839"/>
    <cellStyle name="제목 2 10" xfId="1840"/>
    <cellStyle name="제목 2 11" xfId="1841"/>
    <cellStyle name="제목 2 12" xfId="1842"/>
    <cellStyle name="제목 2 13" xfId="1843"/>
    <cellStyle name="제목 2 14" xfId="1844"/>
    <cellStyle name="제목 2 15" xfId="1845"/>
    <cellStyle name="제목 2 16" xfId="1846"/>
    <cellStyle name="제목 2 17" xfId="1847"/>
    <cellStyle name="제목 2 18" xfId="1848"/>
    <cellStyle name="제목 2 19" xfId="1849"/>
    <cellStyle name="제목 2 2" xfId="1850"/>
    <cellStyle name="제목 2 20" xfId="1851"/>
    <cellStyle name="제목 2 21" xfId="1852"/>
    <cellStyle name="제목 2 22" xfId="1853"/>
    <cellStyle name="제목 2 23" xfId="1854"/>
    <cellStyle name="제목 2 24" xfId="1855"/>
    <cellStyle name="제목 2 25" xfId="1856"/>
    <cellStyle name="제목 2 26" xfId="1857"/>
    <cellStyle name="제목 2 27" xfId="1858"/>
    <cellStyle name="제목 2 28" xfId="1859"/>
    <cellStyle name="제목 2 29" xfId="1860"/>
    <cellStyle name="제목 2 3" xfId="1861"/>
    <cellStyle name="제목 2 30" xfId="1862"/>
    <cellStyle name="제목 2 31" xfId="1863"/>
    <cellStyle name="제목 2 32" xfId="3299"/>
    <cellStyle name="제목 2 4" xfId="1864"/>
    <cellStyle name="제목 2 5" xfId="1865"/>
    <cellStyle name="제목 2 6" xfId="1866"/>
    <cellStyle name="제목 2 7" xfId="1867"/>
    <cellStyle name="제목 2 8" xfId="1868"/>
    <cellStyle name="제목 2 9" xfId="1869"/>
    <cellStyle name="제목 20" xfId="1870"/>
    <cellStyle name="제목 21" xfId="1871"/>
    <cellStyle name="제목 22" xfId="1872"/>
    <cellStyle name="제목 23" xfId="1873"/>
    <cellStyle name="제목 24" xfId="1874"/>
    <cellStyle name="제목 25" xfId="1875"/>
    <cellStyle name="제목 26" xfId="1876"/>
    <cellStyle name="제목 27" xfId="3259"/>
    <cellStyle name="제목 28" xfId="3297"/>
    <cellStyle name="제목 3 10" xfId="1877"/>
    <cellStyle name="제목 3 11" xfId="1878"/>
    <cellStyle name="제목 3 12" xfId="1879"/>
    <cellStyle name="제목 3 13" xfId="1880"/>
    <cellStyle name="제목 3 14" xfId="1881"/>
    <cellStyle name="제목 3 15" xfId="1882"/>
    <cellStyle name="제목 3 16" xfId="1883"/>
    <cellStyle name="제목 3 17" xfId="1884"/>
    <cellStyle name="제목 3 18" xfId="1885"/>
    <cellStyle name="제목 3 19" xfId="1886"/>
    <cellStyle name="제목 3 2" xfId="1887"/>
    <cellStyle name="제목 3 20" xfId="1888"/>
    <cellStyle name="제목 3 21" xfId="1889"/>
    <cellStyle name="제목 3 22" xfId="1890"/>
    <cellStyle name="제목 3 23" xfId="1891"/>
    <cellStyle name="제목 3 24" xfId="1892"/>
    <cellStyle name="제목 3 25" xfId="1893"/>
    <cellStyle name="제목 3 26" xfId="1894"/>
    <cellStyle name="제목 3 27" xfId="1895"/>
    <cellStyle name="제목 3 28" xfId="1896"/>
    <cellStyle name="제목 3 29" xfId="1897"/>
    <cellStyle name="제목 3 3" xfId="1898"/>
    <cellStyle name="제목 3 30" xfId="1899"/>
    <cellStyle name="제목 3 31" xfId="1900"/>
    <cellStyle name="제목 3 32" xfId="3300"/>
    <cellStyle name="제목 3 4" xfId="1901"/>
    <cellStyle name="제목 3 5" xfId="1902"/>
    <cellStyle name="제목 3 6" xfId="1903"/>
    <cellStyle name="제목 3 7" xfId="1904"/>
    <cellStyle name="제목 3 8" xfId="1905"/>
    <cellStyle name="제목 3 9" xfId="1906"/>
    <cellStyle name="제목 4 10" xfId="1907"/>
    <cellStyle name="제목 4 11" xfId="1908"/>
    <cellStyle name="제목 4 12" xfId="1909"/>
    <cellStyle name="제목 4 13" xfId="1910"/>
    <cellStyle name="제목 4 14" xfId="1911"/>
    <cellStyle name="제목 4 15" xfId="1912"/>
    <cellStyle name="제목 4 16" xfId="1913"/>
    <cellStyle name="제목 4 17" xfId="1914"/>
    <cellStyle name="제목 4 18" xfId="1915"/>
    <cellStyle name="제목 4 19" xfId="1916"/>
    <cellStyle name="제목 4 2" xfId="1917"/>
    <cellStyle name="제목 4 20" xfId="1918"/>
    <cellStyle name="제목 4 21" xfId="1919"/>
    <cellStyle name="제목 4 22" xfId="1920"/>
    <cellStyle name="제목 4 23" xfId="1921"/>
    <cellStyle name="제목 4 24" xfId="1922"/>
    <cellStyle name="제목 4 25" xfId="1923"/>
    <cellStyle name="제목 4 26" xfId="1924"/>
    <cellStyle name="제목 4 27" xfId="1925"/>
    <cellStyle name="제목 4 28" xfId="1926"/>
    <cellStyle name="제목 4 29" xfId="1927"/>
    <cellStyle name="제목 4 3" xfId="1928"/>
    <cellStyle name="제목 4 30" xfId="1929"/>
    <cellStyle name="제목 4 31" xfId="1930"/>
    <cellStyle name="제목 4 32" xfId="3301"/>
    <cellStyle name="제목 4 4" xfId="1931"/>
    <cellStyle name="제목 4 5" xfId="1932"/>
    <cellStyle name="제목 4 6" xfId="1933"/>
    <cellStyle name="제목 4 7" xfId="1934"/>
    <cellStyle name="제목 4 8" xfId="1935"/>
    <cellStyle name="제목 4 9" xfId="1936"/>
    <cellStyle name="제목 5" xfId="1937"/>
    <cellStyle name="제목 6" xfId="1938"/>
    <cellStyle name="제목 7" xfId="1939"/>
    <cellStyle name="제목 8" xfId="1940"/>
    <cellStyle name="제목 9" xfId="1941"/>
    <cellStyle name="제목1" xfId="1942"/>
    <cellStyle name="제목2" xfId="1943"/>
    <cellStyle name="좋은양식" xfId="1944"/>
    <cellStyle name="좋음 10" xfId="1945"/>
    <cellStyle name="좋음 11" xfId="1946"/>
    <cellStyle name="좋음 12" xfId="1947"/>
    <cellStyle name="좋음 13" xfId="1948"/>
    <cellStyle name="좋음 14" xfId="1949"/>
    <cellStyle name="좋음 15" xfId="1950"/>
    <cellStyle name="좋음 16" xfId="1951"/>
    <cellStyle name="좋음 17" xfId="1952"/>
    <cellStyle name="좋음 18" xfId="1953"/>
    <cellStyle name="좋음 19" xfId="1954"/>
    <cellStyle name="좋음 2" xfId="1955"/>
    <cellStyle name="좋음 20" xfId="1956"/>
    <cellStyle name="좋음 21" xfId="1957"/>
    <cellStyle name="좋음 22" xfId="1958"/>
    <cellStyle name="좋음 23" xfId="1959"/>
    <cellStyle name="좋음 24" xfId="1960"/>
    <cellStyle name="좋음 25" xfId="1961"/>
    <cellStyle name="좋음 26" xfId="1962"/>
    <cellStyle name="좋음 27" xfId="1963"/>
    <cellStyle name="좋음 28" xfId="1964"/>
    <cellStyle name="좋음 29" xfId="1965"/>
    <cellStyle name="좋음 3" xfId="1966"/>
    <cellStyle name="좋음 30" xfId="1967"/>
    <cellStyle name="좋음 31" xfId="1968"/>
    <cellStyle name="좋음 32" xfId="3302"/>
    <cellStyle name="좋음 4" xfId="1969"/>
    <cellStyle name="좋음 5" xfId="1970"/>
    <cellStyle name="좋음 6" xfId="1971"/>
    <cellStyle name="좋음 7" xfId="1972"/>
    <cellStyle name="좋음 8" xfId="1973"/>
    <cellStyle name="좋음 9" xfId="1974"/>
    <cellStyle name="지정되지 않음" xfId="1975"/>
    <cellStyle name="钎霖_惫寇bal" xfId="1976"/>
    <cellStyle name="千分位[0]_GARMENT STEP FORM HK" xfId="1977"/>
    <cellStyle name="千分位_GARMENT STEP FORM HK" xfId="1978"/>
    <cellStyle name="千位分隔[0]_심천지점 연체채권 보고서" xfId="1979"/>
    <cellStyle name="출력 10" xfId="1980"/>
    <cellStyle name="출력 11" xfId="1981"/>
    <cellStyle name="출력 12" xfId="1982"/>
    <cellStyle name="출력 13" xfId="1983"/>
    <cellStyle name="출력 14" xfId="1984"/>
    <cellStyle name="출력 15" xfId="1985"/>
    <cellStyle name="출력 16" xfId="1986"/>
    <cellStyle name="출력 17" xfId="1987"/>
    <cellStyle name="출력 18" xfId="1988"/>
    <cellStyle name="출력 19" xfId="1989"/>
    <cellStyle name="출력 2" xfId="1990"/>
    <cellStyle name="출력 20" xfId="1991"/>
    <cellStyle name="출력 21" xfId="1992"/>
    <cellStyle name="출력 22" xfId="1993"/>
    <cellStyle name="출력 23" xfId="1994"/>
    <cellStyle name="출력 24" xfId="1995"/>
    <cellStyle name="출력 25" xfId="1996"/>
    <cellStyle name="출력 26" xfId="1997"/>
    <cellStyle name="출력 27" xfId="1998"/>
    <cellStyle name="출력 28" xfId="1999"/>
    <cellStyle name="출력 29" xfId="2000"/>
    <cellStyle name="출력 3" xfId="2001"/>
    <cellStyle name="출력 30" xfId="2002"/>
    <cellStyle name="출력 31" xfId="2003"/>
    <cellStyle name="출력 32" xfId="3303"/>
    <cellStyle name="출력 4" xfId="2004"/>
    <cellStyle name="출력 5" xfId="2005"/>
    <cellStyle name="출력 6" xfId="2006"/>
    <cellStyle name="출력 7" xfId="2007"/>
    <cellStyle name="출력 8" xfId="2008"/>
    <cellStyle name="출력 9" xfId="2009"/>
    <cellStyle name="콤냡?&lt;_x000f_$??: `1_1" xfId="2010"/>
    <cellStyle name="콤냡?&lt;_x000f_$??:_x0009_`1_1" xfId="2011"/>
    <cellStyle name="콤마 [0]" xfId="2012"/>
    <cellStyle name="콤마_  RANGE " xfId="2013"/>
    <cellStyle name="통T" xfId="2014"/>
    <cellStyle name="通貨 [0.00]_BOND SELL LIST" xfId="2015"/>
    <cellStyle name="통화 [0] 2" xfId="2016"/>
    <cellStyle name="통화 [0] 2 2" xfId="3231"/>
    <cellStyle name="통화 [0] 2 2 2" xfId="3232"/>
    <cellStyle name="통화 [0] 2 2 3" xfId="3233"/>
    <cellStyle name="통화 [0] 2 3" xfId="3234"/>
    <cellStyle name="통화 [0] 2 3 2" xfId="3235"/>
    <cellStyle name="통화 [0] 2 3 3" xfId="3236"/>
    <cellStyle name="통화 [0] 3" xfId="2017"/>
    <cellStyle name="通貨_BOND SELL LIST" xfId="2018"/>
    <cellStyle name="트럭" xfId="2019"/>
    <cellStyle name="퍼센트" xfId="2020"/>
    <cellStyle name="평" xfId="2021"/>
    <cellStyle name="표준" xfId="0" builtinId="0" customBuiltin="1"/>
    <cellStyle name="표준 10" xfId="2022"/>
    <cellStyle name="표준 10 2" xfId="2023"/>
    <cellStyle name="표준 11" xfId="2024"/>
    <cellStyle name="표준 12" xfId="2025"/>
    <cellStyle name="표준 13" xfId="2026"/>
    <cellStyle name="표준 14" xfId="2027"/>
    <cellStyle name="표준 15" xfId="2028"/>
    <cellStyle name="표준 15 2" xfId="3237"/>
    <cellStyle name="표준 16" xfId="2029"/>
    <cellStyle name="표준 17" xfId="2030"/>
    <cellStyle name="표준 18" xfId="2031"/>
    <cellStyle name="표준 19" xfId="2032"/>
    <cellStyle name="표준 2" xfId="3238"/>
    <cellStyle name="표준 2 10" xfId="2033"/>
    <cellStyle name="표준 2 11" xfId="2034"/>
    <cellStyle name="표준 2 12" xfId="2035"/>
    <cellStyle name="표준 2 13" xfId="2036"/>
    <cellStyle name="표준 2 14" xfId="2037"/>
    <cellStyle name="표준 2 2" xfId="2038"/>
    <cellStyle name="표준 2 2 10" xfId="2039"/>
    <cellStyle name="표준 2 2 11" xfId="2040"/>
    <cellStyle name="표준 2 2 12" xfId="2041"/>
    <cellStyle name="표준 2 2 13" xfId="2042"/>
    <cellStyle name="표준 2 2 14" xfId="2043"/>
    <cellStyle name="표준 2 2 2" xfId="2044"/>
    <cellStyle name="표준 2 2 2 10" xfId="2045"/>
    <cellStyle name="표준 2 2 2 11" xfId="2046"/>
    <cellStyle name="표준 2 2 2 12" xfId="2047"/>
    <cellStyle name="표준 2 2 2 2" xfId="2048"/>
    <cellStyle name="표준 2 2 2 2 2" xfId="3239"/>
    <cellStyle name="표준 2 2 2 3" xfId="2049"/>
    <cellStyle name="표준 2 2 2 4" xfId="2050"/>
    <cellStyle name="표준 2 2 2 5" xfId="2051"/>
    <cellStyle name="표준 2 2 2 6" xfId="2052"/>
    <cellStyle name="표준 2 2 2 7" xfId="2053"/>
    <cellStyle name="표준 2 2 2 8" xfId="2054"/>
    <cellStyle name="표준 2 2 2 9" xfId="2055"/>
    <cellStyle name="표준 2 2 3" xfId="2056"/>
    <cellStyle name="표준 2 2 3 2" xfId="3241"/>
    <cellStyle name="표준 2 2 3 2 2" xfId="3242"/>
    <cellStyle name="표준 2 2 3 2 2 2" xfId="3243"/>
    <cellStyle name="표준 2 2 3 3" xfId="3240"/>
    <cellStyle name="표준 2 2 4" xfId="2057"/>
    <cellStyle name="표준 2 2 5" xfId="2058"/>
    <cellStyle name="표준 2 2 6" xfId="2059"/>
    <cellStyle name="표준 2 2 7" xfId="2060"/>
    <cellStyle name="표준 2 2 8" xfId="2061"/>
    <cellStyle name="표준 2 2 9" xfId="2062"/>
    <cellStyle name="표준 2 25" xfId="2063"/>
    <cellStyle name="표준 2 3" xfId="2064"/>
    <cellStyle name="표준 2 3 2" xfId="2065"/>
    <cellStyle name="표준 2 3 3" xfId="3244"/>
    <cellStyle name="표준 2 4" xfId="2066"/>
    <cellStyle name="표준 2 4 2" xfId="2067"/>
    <cellStyle name="표준 2 5" xfId="2068"/>
    <cellStyle name="표준 2 6" xfId="2069"/>
    <cellStyle name="표준 2 7" xfId="2070"/>
    <cellStyle name="표준 2 8" xfId="2071"/>
    <cellStyle name="표준 2 9" xfId="2072"/>
    <cellStyle name="표준 20" xfId="2073"/>
    <cellStyle name="표준 21" xfId="2074"/>
    <cellStyle name="표준 22" xfId="2075"/>
    <cellStyle name="표준 23" xfId="2076"/>
    <cellStyle name="표준 24" xfId="3256"/>
    <cellStyle name="표준 25" xfId="3255"/>
    <cellStyle name="표준 3" xfId="2077"/>
    <cellStyle name="표준 3 10" xfId="2078"/>
    <cellStyle name="표준 3 2" xfId="2079"/>
    <cellStyle name="표준 3 2 2" xfId="2080"/>
    <cellStyle name="표준 3 3" xfId="2081"/>
    <cellStyle name="표준 3 3 2" xfId="2082"/>
    <cellStyle name="표준 3 3 3" xfId="3245"/>
    <cellStyle name="표준 32 10" xfId="2083"/>
    <cellStyle name="표준 33" xfId="2084"/>
    <cellStyle name="표준 34" xfId="2085"/>
    <cellStyle name="표준 35" xfId="2086"/>
    <cellStyle name="표준 36" xfId="2087"/>
    <cellStyle name="표준 37" xfId="2088"/>
    <cellStyle name="표준 38" xfId="2089"/>
    <cellStyle name="표준 39" xfId="2090"/>
    <cellStyle name="표준 4" xfId="2091"/>
    <cellStyle name="표준 4 2" xfId="2092"/>
    <cellStyle name="표준 4 2 2" xfId="3247"/>
    <cellStyle name="표준 4 3" xfId="2093"/>
    <cellStyle name="표준 4 3 2" xfId="3249"/>
    <cellStyle name="표준 4 3 2 2" xfId="3250"/>
    <cellStyle name="표준 4 3 3" xfId="3248"/>
    <cellStyle name="표준 4 4" xfId="2094"/>
    <cellStyle name="표준 4 5" xfId="3246"/>
    <cellStyle name="표준 40" xfId="2095"/>
    <cellStyle name="표준 41" xfId="2096"/>
    <cellStyle name="표준 42" xfId="2097"/>
    <cellStyle name="표준 43" xfId="2098"/>
    <cellStyle name="표준 46" xfId="2099"/>
    <cellStyle name="표준 47" xfId="2100"/>
    <cellStyle name="표준 48" xfId="2101"/>
    <cellStyle name="표준 49" xfId="2102"/>
    <cellStyle name="표준 5" xfId="2103"/>
    <cellStyle name="표준 5 2" xfId="2104"/>
    <cellStyle name="표준 5 3" xfId="3251"/>
    <cellStyle name="표준 6" xfId="2105"/>
    <cellStyle name="표준 6 2" xfId="2106"/>
    <cellStyle name="표준 69 3" xfId="2107"/>
    <cellStyle name="표준 7" xfId="3252"/>
    <cellStyle name="표준 7 2" xfId="2108"/>
    <cellStyle name="표준 8" xfId="3253"/>
    <cellStyle name="표준 88" xfId="2109"/>
    <cellStyle name="표준 89" xfId="2110"/>
    <cellStyle name="표준 9" xfId="2111"/>
    <cellStyle name="標準_ACCRUED INT9812" xfId="2112"/>
    <cellStyle name="표준_Sheet1" xfId="2113"/>
    <cellStyle name="표준_우리금융카드부문 1" xfId="2114"/>
    <cellStyle name="표준_자회사결산실적_2002.03" xfId="2115"/>
    <cellStyle name="표준_재무분석자료 수정 7_Fact Book (2009 1Q)목차" xfId="2116"/>
    <cellStyle name="표준_충당금예측" xfId="2117"/>
    <cellStyle name="하이퍼링크" xfId="2118" builtinId="8"/>
    <cellStyle name="합산" xfId="2119"/>
    <cellStyle name="합산 2" xfId="3254"/>
    <cellStyle name="桁?切り [0.00]_Hitachi M Report 0527 Fax Cover" xfId="2120"/>
    <cellStyle name="桁?切り_Hitachi M Report 0527 Fax Cover" xfId="2121"/>
    <cellStyle name="桁区切り [0.00]_FLCCHECKTOKYO(0106)" xfId="2122"/>
    <cellStyle name="桁区切り_FLCCHECKTOKYO(0106)" xfId="2123"/>
    <cellStyle name="貨幣 [0]_GARMENT STEP FORM HK" xfId="2124"/>
    <cellStyle name="貨幣_GARMENT STEP FORM HK" xfId="2125"/>
    <cellStyle name="화폐기호" xfId="2126"/>
    <cellStyle name="화폐기호 2" xfId="3304"/>
    <cellStyle name="화폐기호0" xfId="2127"/>
    <cellStyle name="화폐기호0 2" xfId="3305"/>
    <cellStyle name="확인" xfId="212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31744"/>
        <c:axId val="14083392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35456"/>
        <c:axId val="150212992"/>
      </c:lineChart>
      <c:catAx>
        <c:axId val="140831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408339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4083392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40831744"/>
        <c:crosses val="autoZero"/>
        <c:crossBetween val="between"/>
      </c:valAx>
      <c:catAx>
        <c:axId val="14083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0212992"/>
        <c:crosses val="autoZero"/>
        <c:auto val="0"/>
        <c:lblAlgn val="ctr"/>
        <c:lblOffset val="100"/>
        <c:noMultiLvlLbl val="0"/>
      </c:catAx>
      <c:valAx>
        <c:axId val="15021299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4083545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03712"/>
        <c:axId val="17400563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07424"/>
        <c:axId val="174008960"/>
      </c:lineChart>
      <c:catAx>
        <c:axId val="17400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0056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400563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003712"/>
        <c:crosses val="autoZero"/>
        <c:crossBetween val="between"/>
      </c:valAx>
      <c:catAx>
        <c:axId val="174007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008960"/>
        <c:crosses val="autoZero"/>
        <c:auto val="0"/>
        <c:lblAlgn val="ctr"/>
        <c:lblOffset val="100"/>
        <c:noMultiLvlLbl val="0"/>
      </c:catAx>
      <c:valAx>
        <c:axId val="174008960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400742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43520"/>
        <c:axId val="1740454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51328"/>
        <c:axId val="174052864"/>
      </c:lineChart>
      <c:catAx>
        <c:axId val="17404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0454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40454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043520"/>
        <c:crosses val="autoZero"/>
        <c:crossBetween val="between"/>
      </c:valAx>
      <c:catAx>
        <c:axId val="174051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052864"/>
        <c:crosses val="autoZero"/>
        <c:auto val="0"/>
        <c:lblAlgn val="ctr"/>
        <c:lblOffset val="100"/>
        <c:noMultiLvlLbl val="0"/>
      </c:catAx>
      <c:valAx>
        <c:axId val="17405286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05132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00960"/>
        <c:axId val="17500723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08768"/>
        <c:axId val="175014656"/>
      </c:lineChart>
      <c:catAx>
        <c:axId val="17500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0072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500723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000960"/>
        <c:crosses val="autoZero"/>
        <c:crossBetween val="between"/>
      </c:valAx>
      <c:catAx>
        <c:axId val="17500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014656"/>
        <c:crosses val="autoZero"/>
        <c:auto val="0"/>
        <c:lblAlgn val="ctr"/>
        <c:lblOffset val="100"/>
        <c:noMultiLvlLbl val="0"/>
      </c:catAx>
      <c:valAx>
        <c:axId val="17501465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00876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87776"/>
        <c:axId val="173797760"/>
        <c:axId val="0"/>
      </c:area3DChart>
      <c:catAx>
        <c:axId val="17378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379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79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37877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64448"/>
        <c:axId val="173865984"/>
        <c:axId val="0"/>
      </c:area3DChart>
      <c:catAx>
        <c:axId val="17386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386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86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38644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42528"/>
        <c:axId val="141544064"/>
        <c:axId val="0"/>
      </c:area3DChart>
      <c:catAx>
        <c:axId val="14154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4154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54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415425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42176"/>
        <c:axId val="1754566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58176"/>
        <c:axId val="175459712"/>
      </c:lineChart>
      <c:catAx>
        <c:axId val="175442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4566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54566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442176"/>
        <c:crosses val="autoZero"/>
        <c:crossBetween val="between"/>
      </c:valAx>
      <c:catAx>
        <c:axId val="17545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5459712"/>
        <c:crosses val="autoZero"/>
        <c:auto val="0"/>
        <c:lblAlgn val="ctr"/>
        <c:lblOffset val="100"/>
        <c:noMultiLvlLbl val="0"/>
      </c:catAx>
      <c:valAx>
        <c:axId val="17545971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4581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90560"/>
        <c:axId val="17549248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2464"/>
        <c:axId val="175504000"/>
      </c:lineChart>
      <c:catAx>
        <c:axId val="175490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4924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549248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490560"/>
        <c:crosses val="autoZero"/>
        <c:crossBetween val="between"/>
      </c:valAx>
      <c:catAx>
        <c:axId val="175502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504000"/>
        <c:crosses val="autoZero"/>
        <c:auto val="0"/>
        <c:lblAlgn val="ctr"/>
        <c:lblOffset val="100"/>
        <c:noMultiLvlLbl val="0"/>
      </c:catAx>
      <c:valAx>
        <c:axId val="17550400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50246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59808"/>
        <c:axId val="17556172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281920"/>
        <c:axId val="223283456"/>
      </c:lineChart>
      <c:catAx>
        <c:axId val="175559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5617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556172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559808"/>
        <c:crosses val="autoZero"/>
        <c:crossBetween val="between"/>
      </c:valAx>
      <c:catAx>
        <c:axId val="2232819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3283456"/>
        <c:crosses val="autoZero"/>
        <c:auto val="0"/>
        <c:lblAlgn val="ctr"/>
        <c:lblOffset val="100"/>
        <c:noMultiLvlLbl val="0"/>
      </c:catAx>
      <c:valAx>
        <c:axId val="223283456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328192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26592"/>
        <c:axId val="22332851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34400"/>
        <c:axId val="223335936"/>
      </c:lineChart>
      <c:catAx>
        <c:axId val="223326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33285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2332851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3326592"/>
        <c:crosses val="autoZero"/>
        <c:crossBetween val="between"/>
      </c:valAx>
      <c:catAx>
        <c:axId val="223334400"/>
        <c:scaling>
          <c:orientation val="minMax"/>
        </c:scaling>
        <c:delete val="1"/>
        <c:axPos val="b"/>
        <c:majorTickMark val="out"/>
        <c:minorTickMark val="none"/>
        <c:tickLblPos val="nextTo"/>
        <c:crossAx val="223335936"/>
        <c:crosses val="autoZero"/>
        <c:auto val="0"/>
        <c:lblAlgn val="ctr"/>
        <c:lblOffset val="100"/>
        <c:noMultiLvlLbl val="0"/>
      </c:catAx>
      <c:valAx>
        <c:axId val="22333593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333440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33888"/>
        <c:axId val="23734016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41696"/>
        <c:axId val="237343488"/>
      </c:lineChart>
      <c:catAx>
        <c:axId val="237333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3401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3734016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333888"/>
        <c:crosses val="autoZero"/>
        <c:crossBetween val="between"/>
      </c:valAx>
      <c:catAx>
        <c:axId val="23734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37343488"/>
        <c:crosses val="autoZero"/>
        <c:auto val="0"/>
        <c:lblAlgn val="ctr"/>
        <c:lblOffset val="100"/>
        <c:noMultiLvlLbl val="0"/>
      </c:catAx>
      <c:valAx>
        <c:axId val="23734348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34169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47584"/>
        <c:axId val="23775385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55392"/>
        <c:axId val="237757184"/>
      </c:lineChart>
      <c:catAx>
        <c:axId val="237747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7538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3775385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747584"/>
        <c:crosses val="autoZero"/>
        <c:crossBetween val="between"/>
      </c:valAx>
      <c:catAx>
        <c:axId val="23775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237757184"/>
        <c:crosses val="autoZero"/>
        <c:auto val="0"/>
        <c:lblAlgn val="ctr"/>
        <c:lblOffset val="100"/>
        <c:noMultiLvlLbl val="0"/>
      </c:catAx>
      <c:valAx>
        <c:axId val="237757184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3775539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99776"/>
        <c:axId val="22550195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03488"/>
        <c:axId val="237367296"/>
      </c:lineChart>
      <c:catAx>
        <c:axId val="225499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55019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2550195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5499776"/>
        <c:crosses val="autoZero"/>
        <c:crossBetween val="between"/>
      </c:valAx>
      <c:catAx>
        <c:axId val="225503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37367296"/>
        <c:crosses val="autoZero"/>
        <c:auto val="0"/>
        <c:lblAlgn val="ctr"/>
        <c:lblOffset val="100"/>
        <c:noMultiLvlLbl val="0"/>
      </c:catAx>
      <c:valAx>
        <c:axId val="23736729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550348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58464"/>
        <c:axId val="2389606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62176"/>
        <c:axId val="238963712"/>
      </c:lineChart>
      <c:catAx>
        <c:axId val="238958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89606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389606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8958464"/>
        <c:crosses val="autoZero"/>
        <c:crossBetween val="between"/>
      </c:valAx>
      <c:catAx>
        <c:axId val="23896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38963712"/>
        <c:crosses val="autoZero"/>
        <c:auto val="0"/>
        <c:lblAlgn val="ctr"/>
        <c:lblOffset val="100"/>
        <c:noMultiLvlLbl val="0"/>
      </c:catAx>
      <c:valAx>
        <c:axId val="23896371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89621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26528"/>
        <c:axId val="141528064"/>
        <c:axId val="0"/>
      </c:area3DChart>
      <c:catAx>
        <c:axId val="14152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4152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52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415265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16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14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8.png"/><Relationship Id="rId5" Type="http://schemas.openxmlformats.org/officeDocument/2006/relationships/hyperlink" Target="#ToC!A1"/><Relationship Id="rId4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14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5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581024</xdr:colOff>
      <xdr:row>42</xdr:row>
      <xdr:rowOff>62684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2" t="9123" r="4947" b="5289"/>
        <a:stretch/>
      </xdr:blipFill>
      <xdr:spPr>
        <a:xfrm>
          <a:off x="0" y="0"/>
          <a:ext cx="9934574" cy="6863534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11</xdr:row>
      <xdr:rowOff>38100</xdr:rowOff>
    </xdr:from>
    <xdr:to>
      <xdr:col>11</xdr:col>
      <xdr:colOff>447675</xdr:colOff>
      <xdr:row>22</xdr:row>
      <xdr:rowOff>38100</xdr:rowOff>
    </xdr:to>
    <xdr:sp macro="" textlink="">
      <xdr:nvSpPr>
        <xdr:cNvPr id="7" name="Text Box 4"/>
        <xdr:cNvSpPr txBox="1">
          <a:spLocks noChangeArrowheads="1"/>
        </xdr:cNvSpPr>
      </xdr:nvSpPr>
      <xdr:spPr bwMode="gray">
        <a:xfrm>
          <a:off x="2886075" y="181927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2017 1H </a:t>
          </a: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  <xdr:twoCellAnchor>
    <xdr:from>
      <xdr:col>0</xdr:col>
      <xdr:colOff>133350</xdr:colOff>
      <xdr:row>1</xdr:row>
      <xdr:rowOff>76200</xdr:rowOff>
    </xdr:from>
    <xdr:to>
      <xdr:col>4</xdr:col>
      <xdr:colOff>96756</xdr:colOff>
      <xdr:row>7</xdr:row>
      <xdr:rowOff>120819</xdr:rowOff>
    </xdr:to>
    <xdr:grpSp>
      <xdr:nvGrpSpPr>
        <xdr:cNvPr id="5" name="그룹 4"/>
        <xdr:cNvGrpSpPr/>
      </xdr:nvGrpSpPr>
      <xdr:grpSpPr>
        <a:xfrm>
          <a:off x="133350" y="238125"/>
          <a:ext cx="2401806" cy="1016169"/>
          <a:chOff x="388461" y="545124"/>
          <a:chExt cx="2401806" cy="1016169"/>
        </a:xfrm>
      </xdr:grpSpPr>
      <xdr:pic>
        <xdr:nvPicPr>
          <xdr:cNvPr id="10" name="그림 9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4446"/>
          <a:stretch/>
        </xdr:blipFill>
        <xdr:spPr>
          <a:xfrm>
            <a:off x="409815" y="1193529"/>
            <a:ext cx="2279186" cy="367764"/>
          </a:xfrm>
          <a:prstGeom prst="rect">
            <a:avLst/>
          </a:prstGeom>
        </xdr:spPr>
      </xdr:pic>
      <xdr:grpSp>
        <xdr:nvGrpSpPr>
          <xdr:cNvPr id="11" name="그룹 10"/>
          <xdr:cNvGrpSpPr/>
        </xdr:nvGrpSpPr>
        <xdr:grpSpPr>
          <a:xfrm>
            <a:off x="388461" y="545124"/>
            <a:ext cx="2401806" cy="667440"/>
            <a:chOff x="388461" y="545124"/>
            <a:chExt cx="2401806" cy="667440"/>
          </a:xfrm>
        </xdr:grpSpPr>
        <xdr:pic>
          <xdr:nvPicPr>
            <xdr:cNvPr id="12" name="Picture 2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8461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3" name="Picture 3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3528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4" name="Picture 4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38596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5" name="Picture 5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22827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 editAs="oneCell">
    <xdr:from>
      <xdr:col>13</xdr:col>
      <xdr:colOff>1204873</xdr:colOff>
      <xdr:row>1</xdr:row>
      <xdr:rowOff>114351</xdr:rowOff>
    </xdr:from>
    <xdr:to>
      <xdr:col>14</xdr:col>
      <xdr:colOff>287323</xdr:colOff>
      <xdr:row>5</xdr:row>
      <xdr:rowOff>78651</xdr:rowOff>
    </xdr:to>
    <xdr:pic>
      <xdr:nvPicPr>
        <xdr:cNvPr id="8" name="그림 7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673" y="276276"/>
          <a:ext cx="511200" cy="612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13</xdr:col>
      <xdr:colOff>563206</xdr:colOff>
      <xdr:row>1</xdr:row>
      <xdr:rowOff>114351</xdr:rowOff>
    </xdr:from>
    <xdr:to>
      <xdr:col>13</xdr:col>
      <xdr:colOff>1073768</xdr:colOff>
      <xdr:row>5</xdr:row>
      <xdr:rowOff>72262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8006" y="276276"/>
          <a:ext cx="510562" cy="605611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114300</xdr:colOff>
      <xdr:row>23</xdr:row>
      <xdr:rowOff>9525</xdr:rowOff>
    </xdr:from>
    <xdr:to>
      <xdr:col>11</xdr:col>
      <xdr:colOff>29444</xdr:colOff>
      <xdr:row>26</xdr:row>
      <xdr:rowOff>33730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3733800"/>
          <a:ext cx="3572744" cy="509980"/>
        </a:xfrm>
        <a:prstGeom prst="rect">
          <a:avLst/>
        </a:prstGeom>
      </xdr:spPr>
    </xdr:pic>
    <xdr:clientData/>
  </xdr:twoCellAnchor>
  <xdr:twoCellAnchor>
    <xdr:from>
      <xdr:col>6</xdr:col>
      <xdr:colOff>9224</xdr:colOff>
      <xdr:row>26</xdr:row>
      <xdr:rowOff>52780</xdr:rowOff>
    </xdr:from>
    <xdr:to>
      <xdr:col>10</xdr:col>
      <xdr:colOff>250524</xdr:colOff>
      <xdr:row>28</xdr:row>
      <xdr:rowOff>98262</xdr:rowOff>
    </xdr:to>
    <xdr:sp macro="" textlink="">
      <xdr:nvSpPr>
        <xdr:cNvPr id="19" name="TextBox 1"/>
        <xdr:cNvSpPr txBox="1"/>
      </xdr:nvSpPr>
      <xdr:spPr>
        <a:xfrm>
          <a:off x="3666824" y="4262830"/>
          <a:ext cx="2679700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21499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429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644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85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074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28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50494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719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o-KR" altLang="en-US" sz="1800" b="1" spc="-100">
              <a:solidFill>
                <a:srgbClr val="323276"/>
              </a:solidFill>
              <a:latin typeface="나눔고딕 ExtraBold" panose="020D0904000000000000" pitchFamily="50" charset="-127"/>
              <a:ea typeface="나눔고딕 ExtraBold" panose="020D0904000000000000" pitchFamily="50" charset="-127"/>
            </a:rPr>
            <a:t>새로운 내일</a:t>
          </a:r>
          <a:r>
            <a:rPr lang="en-US" altLang="ko-KR" sz="1800" b="1" spc="-100">
              <a:solidFill>
                <a:srgbClr val="323276"/>
              </a:solidFill>
              <a:latin typeface="나눔고딕 ExtraBold" panose="020D0904000000000000" pitchFamily="50" charset="-127"/>
              <a:ea typeface="나눔고딕 ExtraBold" panose="020D0904000000000000" pitchFamily="50" charset="-127"/>
            </a:rPr>
            <a:t>, </a:t>
          </a:r>
          <a:r>
            <a:rPr lang="ko-KR" altLang="en-US" sz="1800" b="1" spc="-100">
              <a:solidFill>
                <a:srgbClr val="323276"/>
              </a:solidFill>
              <a:latin typeface="나눔고딕 ExtraBold" panose="020D0904000000000000" pitchFamily="50" charset="-127"/>
              <a:ea typeface="나눔고딕 ExtraBold" panose="020D0904000000000000" pitchFamily="50" charset="-127"/>
            </a:rPr>
            <a:t>더 强한 은행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5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5315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7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736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0</xdr:row>
      <xdr:rowOff>0</xdr:rowOff>
    </xdr:to>
    <xdr:graphicFrame macro="">
      <xdr:nvGraphicFramePr>
        <xdr:cNvPr id="6277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5</xdr:col>
      <xdr:colOff>371475</xdr:colOff>
      <xdr:row>0</xdr:row>
      <xdr:rowOff>304800</xdr:rowOff>
    </xdr:to>
    <xdr:graphicFrame macro="">
      <xdr:nvGraphicFramePr>
        <xdr:cNvPr id="6277946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62779461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4916061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6278656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6278759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886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88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62788637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수치 및 내용은 회계감사가 완료되지 않은 잠정예비자료로서 여러분의 편의를 위해 작성되었습니다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미래 성과나 정보는 예측이나 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전망일 뿐으로 실제 결과와 다를 수 있습니다</a:t>
          </a:r>
          <a:r>
            <a:rPr lang="en-US" altLang="ko-KR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그러므로 최종적으로 회계감사를 마친 자료와는 중대한 차이가 있을 수 있고  별도 공지 없이 추후 달라질 수 있음을 양지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하시기  바랍니다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또한 이 정보의 제공으로 인해 발생되는 어떠한 손실에도 회사는 책임이 없음을 알려드립니다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en-US" altLang="ko-KR" sz="900" b="0" i="0" strike="noStrike">
              <a:solidFill>
                <a:srgbClr val="FF0000"/>
              </a:solidFill>
              <a:latin typeface="Times New Roman"/>
              <a:cs typeface="Times New Roman"/>
            </a:rPr>
            <a:t>   </a:t>
          </a: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91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1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917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62791739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627958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5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62795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6279581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62757897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62799881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2800941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2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628009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2800945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62806025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6280704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6280807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3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2762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627620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1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2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62073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71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1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71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62771239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4:O48"/>
  <sheetViews>
    <sheetView showGridLines="0" view="pageBreakPreview" zoomScaleNormal="100" zoomScaleSheetLayoutView="100" workbookViewId="0">
      <selection activeCell="F44" sqref="F44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44" spans="1:15" ht="30.75" customHeight="1"/>
    <row r="48" spans="1:15">
      <c r="A48" s="1374"/>
      <c r="B48" s="1374"/>
      <c r="C48" s="1374"/>
      <c r="D48" s="1374"/>
      <c r="E48" s="1374"/>
      <c r="F48" s="1374"/>
      <c r="G48" s="1374"/>
      <c r="H48" s="1374"/>
      <c r="I48" s="1374"/>
      <c r="J48" s="1374"/>
      <c r="K48" s="1374"/>
      <c r="L48" s="1374"/>
      <c r="M48" s="1374"/>
      <c r="N48" s="1374"/>
      <c r="O48" s="1374"/>
    </row>
  </sheetData>
  <mergeCells count="1">
    <mergeCell ref="A48:O48"/>
  </mergeCells>
  <phoneticPr fontId="3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zoomScale="91" zoomScaleNormal="100" zoomScaleSheetLayoutView="91" workbookViewId="0">
      <selection activeCell="C32" sqref="C32:C33"/>
    </sheetView>
  </sheetViews>
  <sheetFormatPr defaultRowHeight="11.25"/>
  <cols>
    <col min="1" max="1" width="19.140625" style="142" customWidth="1"/>
    <col min="2" max="2" width="5.28515625" style="142" customWidth="1"/>
    <col min="3" max="3" width="18.7109375" style="142" customWidth="1"/>
    <col min="4" max="4" width="8.28515625" style="216" customWidth="1"/>
    <col min="5" max="5" width="2.7109375" style="216" customWidth="1"/>
    <col min="6" max="6" width="8.28515625" style="216" customWidth="1"/>
    <col min="7" max="7" width="6.5703125" style="142" customWidth="1"/>
    <col min="8" max="8" width="18.7109375" style="142" customWidth="1"/>
    <col min="9" max="9" width="8.28515625" style="216" customWidth="1"/>
    <col min="10" max="10" width="2.7109375" style="216" customWidth="1"/>
    <col min="11" max="11" width="8.28515625" style="216" customWidth="1"/>
    <col min="12" max="12" width="6.140625" style="142" customWidth="1"/>
    <col min="13" max="13" width="18.7109375" style="142" customWidth="1"/>
    <col min="14" max="14" width="8.28515625" style="216" customWidth="1"/>
    <col min="15" max="15" width="2.7109375" style="216" customWidth="1"/>
    <col min="16" max="16" width="8.28515625" style="216" customWidth="1"/>
    <col min="17" max="16384" width="9.140625" style="142"/>
  </cols>
  <sheetData>
    <row r="1" spans="1:17" s="118" customFormat="1" ht="30" customHeight="1">
      <c r="A1" s="812"/>
      <c r="B1" s="231"/>
      <c r="C1" s="626" t="s">
        <v>135</v>
      </c>
      <c r="D1" s="232"/>
      <c r="E1" s="232"/>
      <c r="F1" s="232"/>
      <c r="G1" s="137"/>
      <c r="H1" s="137"/>
      <c r="I1" s="233"/>
      <c r="J1" s="233"/>
      <c r="K1" s="233"/>
      <c r="L1" s="137"/>
      <c r="M1" s="137"/>
      <c r="N1" s="233"/>
      <c r="O1" s="233"/>
      <c r="P1" s="233"/>
    </row>
    <row r="2" spans="1:17" s="118" customFormat="1">
      <c r="A2" s="215"/>
      <c r="B2" s="121"/>
      <c r="C2" s="121"/>
      <c r="D2" s="216"/>
      <c r="E2" s="214"/>
      <c r="F2" s="214"/>
      <c r="I2" s="214"/>
      <c r="J2" s="214"/>
      <c r="K2" s="214"/>
      <c r="N2" s="214"/>
      <c r="O2" s="214"/>
      <c r="P2" s="214"/>
    </row>
    <row r="3" spans="1:17" s="118" customFormat="1">
      <c r="A3" s="215"/>
      <c r="B3" s="121"/>
      <c r="C3" s="121"/>
      <c r="D3" s="216"/>
      <c r="E3" s="214"/>
      <c r="F3" s="214"/>
      <c r="I3" s="214"/>
      <c r="J3" s="214"/>
      <c r="K3" s="214"/>
      <c r="N3" s="214"/>
      <c r="O3" s="214"/>
      <c r="P3" s="214"/>
    </row>
    <row r="4" spans="1:17" ht="16.5" customHeight="1">
      <c r="A4" s="141"/>
      <c r="C4" s="22" t="s">
        <v>402</v>
      </c>
    </row>
    <row r="5" spans="1:17" ht="16.5" customHeight="1">
      <c r="A5" s="234"/>
    </row>
    <row r="6" spans="1:17" ht="16.5" customHeight="1">
      <c r="A6" s="235"/>
      <c r="C6" s="492" t="s">
        <v>136</v>
      </c>
      <c r="D6" s="237"/>
      <c r="E6" s="237"/>
      <c r="F6" s="237"/>
      <c r="G6" s="238"/>
      <c r="H6" s="493" t="s">
        <v>114</v>
      </c>
      <c r="I6" s="237"/>
      <c r="J6" s="237"/>
      <c r="K6" s="237"/>
      <c r="L6" s="236"/>
      <c r="M6" s="493" t="s">
        <v>115</v>
      </c>
      <c r="N6" s="223"/>
      <c r="O6" s="223"/>
      <c r="P6" s="223"/>
    </row>
    <row r="7" spans="1:17" ht="16.5" customHeight="1">
      <c r="A7" s="235"/>
      <c r="C7" s="445"/>
      <c r="D7" s="237"/>
      <c r="E7" s="237"/>
      <c r="F7" s="237"/>
      <c r="G7" s="238"/>
      <c r="H7" s="238"/>
      <c r="I7" s="237"/>
      <c r="J7" s="237"/>
      <c r="K7" s="237"/>
      <c r="L7" s="236"/>
      <c r="M7" s="238"/>
      <c r="N7" s="223"/>
      <c r="O7" s="223"/>
      <c r="P7" s="223"/>
    </row>
    <row r="8" spans="1:17" ht="16.5" customHeight="1">
      <c r="A8" s="141"/>
      <c r="C8" s="143" t="s">
        <v>116</v>
      </c>
      <c r="D8" s="1422" t="s">
        <v>502</v>
      </c>
      <c r="E8" s="1422"/>
      <c r="F8" s="1422"/>
      <c r="G8" s="118"/>
      <c r="H8" s="143" t="s">
        <v>123</v>
      </c>
      <c r="I8" s="1422" t="str">
        <f>D8</f>
        <v>2Q17</v>
      </c>
      <c r="J8" s="1422"/>
      <c r="K8" s="1422"/>
      <c r="L8" s="121"/>
      <c r="M8" s="143" t="s">
        <v>123</v>
      </c>
      <c r="N8" s="1421" t="str">
        <f>D8</f>
        <v>2Q17</v>
      </c>
      <c r="O8" s="1421"/>
      <c r="P8" s="1421"/>
    </row>
    <row r="9" spans="1:17" ht="16.5" customHeight="1">
      <c r="A9" s="239"/>
      <c r="C9" s="682" t="s">
        <v>117</v>
      </c>
      <c r="D9" s="1016">
        <f>SUM(D10:D16)-D12-D13</f>
        <v>104175.70000000004</v>
      </c>
      <c r="E9" s="925"/>
      <c r="F9" s="1018">
        <f>D9/$D$9</f>
        <v>1</v>
      </c>
      <c r="G9" s="385"/>
      <c r="H9" s="682" t="s">
        <v>124</v>
      </c>
      <c r="I9" s="601">
        <f>SUM(I10:I12)</f>
        <v>104175.7</v>
      </c>
      <c r="J9" s="386"/>
      <c r="K9" s="1018">
        <f>I9/$I$9</f>
        <v>1</v>
      </c>
      <c r="L9" s="385"/>
      <c r="M9" s="682" t="s">
        <v>124</v>
      </c>
      <c r="N9" s="601">
        <f>SUM(N10:N16)</f>
        <v>71980.600000000006</v>
      </c>
      <c r="O9" s="597"/>
      <c r="P9" s="1018">
        <f>N9/$N$9</f>
        <v>1</v>
      </c>
      <c r="Q9" s="216"/>
    </row>
    <row r="10" spans="1:17" ht="16.5" customHeight="1">
      <c r="A10" s="239"/>
      <c r="C10" s="675" t="s">
        <v>118</v>
      </c>
      <c r="D10" s="1097">
        <v>6.3</v>
      </c>
      <c r="E10" s="925"/>
      <c r="F10" s="598">
        <f t="shared" ref="F10:F16" si="0">ROUND(D10,0)/ROUND($D$9,0)</f>
        <v>5.7594839502380587E-5</v>
      </c>
      <c r="G10" s="385"/>
      <c r="H10" s="675" t="s">
        <v>125</v>
      </c>
      <c r="I10" s="783">
        <v>71980.7</v>
      </c>
      <c r="J10" s="388"/>
      <c r="K10" s="598">
        <f>I10/$I$9</f>
        <v>0.69095480039970936</v>
      </c>
      <c r="L10" s="385"/>
      <c r="M10" s="675" t="s">
        <v>128</v>
      </c>
      <c r="N10" s="783">
        <v>55766.1</v>
      </c>
      <c r="O10" s="597"/>
      <c r="P10" s="598">
        <f>ROUND(N10,0)/ROUND($N$9,0)</f>
        <v>0.77473222100276462</v>
      </c>
      <c r="Q10" s="240"/>
    </row>
    <row r="11" spans="1:17" ht="16.5" customHeight="1">
      <c r="A11" s="239"/>
      <c r="C11" s="675" t="s">
        <v>119</v>
      </c>
      <c r="D11" s="1097">
        <v>56803</v>
      </c>
      <c r="E11" s="925"/>
      <c r="F11" s="598">
        <f t="shared" si="0"/>
        <v>0.54525994470895411</v>
      </c>
      <c r="G11" s="385"/>
      <c r="H11" s="675" t="s">
        <v>126</v>
      </c>
      <c r="I11" s="783">
        <v>20106</v>
      </c>
      <c r="J11" s="388"/>
      <c r="K11" s="598">
        <f>I11/$I$9</f>
        <v>0.19300086296516367</v>
      </c>
      <c r="L11" s="385"/>
      <c r="M11" s="675" t="s">
        <v>129</v>
      </c>
      <c r="N11" s="783">
        <v>839.8</v>
      </c>
      <c r="O11" s="597"/>
      <c r="P11" s="598">
        <f>ROUND(N11,0)/ROUND($N$9,0)</f>
        <v>1.1669746183020519E-2</v>
      </c>
      <c r="Q11" s="240"/>
    </row>
    <row r="12" spans="1:17" ht="16.5" customHeight="1">
      <c r="A12" s="239"/>
      <c r="C12" s="683" t="s">
        <v>356</v>
      </c>
      <c r="D12" s="1097">
        <v>4053.5</v>
      </c>
      <c r="E12" s="925"/>
      <c r="F12" s="598">
        <f t="shared" si="0"/>
        <v>3.8914913223775147E-2</v>
      </c>
      <c r="G12" s="385"/>
      <c r="H12" s="675" t="s">
        <v>127</v>
      </c>
      <c r="I12" s="783">
        <v>12089</v>
      </c>
      <c r="J12" s="388"/>
      <c r="K12" s="598">
        <f>I12/$I$9</f>
        <v>0.116044336635127</v>
      </c>
      <c r="L12" s="385"/>
      <c r="M12" s="675" t="s">
        <v>130</v>
      </c>
      <c r="N12" s="783">
        <v>5.0999999999999996</v>
      </c>
      <c r="O12" s="388"/>
      <c r="P12" s="598">
        <f>ROUND(N12,0)/ROUND($N$9,0)</f>
        <v>6.9462774898931663E-5</v>
      </c>
      <c r="Q12" s="240"/>
    </row>
    <row r="13" spans="1:17" ht="16.5" customHeight="1">
      <c r="A13" s="239"/>
      <c r="C13" s="683" t="s">
        <v>357</v>
      </c>
      <c r="D13" s="1097">
        <v>50707.9</v>
      </c>
      <c r="E13" s="925"/>
      <c r="F13" s="598">
        <f t="shared" si="0"/>
        <v>0.48675318691445246</v>
      </c>
      <c r="G13" s="385"/>
      <c r="H13" s="683"/>
      <c r="I13" s="609"/>
      <c r="J13" s="609"/>
      <c r="K13" s="597"/>
      <c r="L13" s="385"/>
      <c r="M13" s="675" t="s">
        <v>131</v>
      </c>
      <c r="N13" s="783">
        <v>15369.6</v>
      </c>
      <c r="O13" s="1017"/>
      <c r="P13" s="598">
        <f>ROUND(N13,0)/ROUND($N$9,0)</f>
        <v>0.21352857003931594</v>
      </c>
      <c r="Q13" s="240"/>
    </row>
    <row r="14" spans="1:17" ht="16.5" customHeight="1">
      <c r="A14" s="239"/>
      <c r="C14" s="675" t="s">
        <v>120</v>
      </c>
      <c r="D14" s="1097">
        <v>310.5</v>
      </c>
      <c r="E14" s="925"/>
      <c r="F14" s="598">
        <f t="shared" si="0"/>
        <v>2.9853325142067269E-3</v>
      </c>
      <c r="G14" s="385"/>
      <c r="H14" s="690"/>
      <c r="I14" s="609"/>
      <c r="J14" s="609"/>
      <c r="K14" s="598"/>
      <c r="L14" s="611"/>
      <c r="M14" s="685"/>
      <c r="N14" s="603"/>
      <c r="O14" s="604"/>
      <c r="P14" s="607"/>
      <c r="Q14" s="240"/>
    </row>
    <row r="15" spans="1:17" ht="16.5" customHeight="1">
      <c r="A15" s="239"/>
      <c r="C15" s="688" t="s">
        <v>121</v>
      </c>
      <c r="D15" s="1148">
        <v>44558.7</v>
      </c>
      <c r="E15" s="930"/>
      <c r="F15" s="598">
        <f t="shared" si="0"/>
        <v>0.42772807556442943</v>
      </c>
      <c r="G15" s="385"/>
      <c r="H15" s="691"/>
      <c r="I15" s="613"/>
      <c r="J15" s="613"/>
      <c r="K15" s="614"/>
      <c r="L15" s="611"/>
      <c r="M15" s="692"/>
      <c r="N15" s="612"/>
      <c r="O15" s="615"/>
      <c r="P15" s="616"/>
      <c r="Q15" s="241"/>
    </row>
    <row r="16" spans="1:17" ht="16.5" customHeight="1" thickBot="1">
      <c r="A16" s="242"/>
      <c r="C16" s="689" t="s">
        <v>358</v>
      </c>
      <c r="D16" s="1142">
        <v>2497.1999999999998</v>
      </c>
      <c r="E16" s="931"/>
      <c r="F16" s="614">
        <f t="shared" si="0"/>
        <v>2.3969052372907387E-2</v>
      </c>
      <c r="G16" s="385"/>
      <c r="H16" s="689"/>
      <c r="I16" s="617"/>
      <c r="J16" s="617"/>
      <c r="K16" s="599"/>
      <c r="L16" s="385"/>
      <c r="M16" s="684"/>
      <c r="N16" s="390"/>
      <c r="O16" s="618"/>
      <c r="P16" s="619"/>
    </row>
    <row r="17" spans="1:17" ht="16.5" customHeight="1">
      <c r="A17" s="141"/>
      <c r="D17" s="142"/>
      <c r="E17" s="142"/>
      <c r="F17" s="243"/>
      <c r="I17" s="142"/>
      <c r="J17" s="142"/>
      <c r="K17" s="153"/>
      <c r="M17" s="693"/>
      <c r="N17" s="142"/>
      <c r="O17" s="142"/>
      <c r="P17" s="153"/>
    </row>
    <row r="18" spans="1:17" ht="16.5" customHeight="1">
      <c r="A18" s="141"/>
    </row>
    <row r="19" spans="1:17" ht="16.5" customHeight="1">
      <c r="A19" s="141"/>
      <c r="C19" s="22" t="s">
        <v>403</v>
      </c>
      <c r="D19" s="220"/>
      <c r="E19" s="220"/>
      <c r="F19" s="220"/>
      <c r="G19" s="136"/>
      <c r="H19" s="136"/>
      <c r="I19" s="220"/>
      <c r="J19" s="220"/>
      <c r="K19" s="220"/>
      <c r="L19" s="136"/>
      <c r="M19" s="136"/>
      <c r="N19" s="220"/>
      <c r="O19" s="220"/>
      <c r="P19" s="220"/>
    </row>
    <row r="20" spans="1:17" ht="16.5" customHeight="1">
      <c r="A20" s="141"/>
      <c r="H20" s="136"/>
      <c r="I20" s="221"/>
      <c r="J20" s="221"/>
      <c r="K20" s="220"/>
      <c r="L20" s="136"/>
      <c r="M20" s="244"/>
      <c r="N20" s="223"/>
      <c r="O20" s="223"/>
      <c r="P20" s="224"/>
    </row>
    <row r="21" spans="1:17" ht="16.5" customHeight="1">
      <c r="A21" s="141"/>
      <c r="C21" s="492" t="s">
        <v>136</v>
      </c>
      <c r="D21" s="237"/>
      <c r="E21" s="237"/>
      <c r="F21" s="237"/>
      <c r="G21" s="238"/>
      <c r="H21" s="493" t="s">
        <v>114</v>
      </c>
      <c r="I21" s="237"/>
      <c r="J21" s="237"/>
      <c r="K21" s="237"/>
      <c r="L21" s="236"/>
      <c r="M21" s="493" t="s">
        <v>115</v>
      </c>
      <c r="N21" s="219"/>
    </row>
    <row r="22" spans="1:17" ht="16.5" customHeight="1">
      <c r="A22" s="141"/>
      <c r="C22" s="445"/>
      <c r="D22" s="237"/>
      <c r="E22" s="237"/>
      <c r="F22" s="237"/>
      <c r="G22" s="238"/>
      <c r="H22" s="238"/>
      <c r="I22" s="237"/>
      <c r="J22" s="237"/>
      <c r="K22" s="237"/>
      <c r="L22" s="236"/>
      <c r="M22" s="238"/>
      <c r="N22" s="219"/>
    </row>
    <row r="23" spans="1:17" ht="16.5" customHeight="1">
      <c r="A23" s="141"/>
      <c r="C23" s="143" t="s">
        <v>116</v>
      </c>
      <c r="D23" s="1421" t="str">
        <f>D8</f>
        <v>2Q17</v>
      </c>
      <c r="E23" s="1421"/>
      <c r="F23" s="1421"/>
      <c r="G23" s="245"/>
      <c r="H23" s="143" t="s">
        <v>123</v>
      </c>
      <c r="I23" s="1421" t="str">
        <f>D8</f>
        <v>2Q17</v>
      </c>
      <c r="J23" s="1421"/>
      <c r="K23" s="1421"/>
      <c r="L23" s="136"/>
      <c r="M23" s="143" t="s">
        <v>123</v>
      </c>
      <c r="N23" s="1421" t="str">
        <f>D8</f>
        <v>2Q17</v>
      </c>
      <c r="O23" s="1421"/>
      <c r="P23" s="1421"/>
    </row>
    <row r="24" spans="1:17" ht="16.5" customHeight="1">
      <c r="A24" s="141"/>
      <c r="C24" s="682" t="s">
        <v>117</v>
      </c>
      <c r="D24" s="1019">
        <f>SUM(D25:D31)-D27</f>
        <v>2779.2999999999997</v>
      </c>
      <c r="E24" s="597"/>
      <c r="F24" s="1018">
        <f>D24/$D$24</f>
        <v>1</v>
      </c>
      <c r="G24" s="385"/>
      <c r="H24" s="682" t="s">
        <v>124</v>
      </c>
      <c r="I24" s="601">
        <f>SUM(I25:I27)-1</f>
        <v>2778.5</v>
      </c>
      <c r="J24" s="386"/>
      <c r="K24" s="1018">
        <f>I24/$I$24</f>
        <v>1</v>
      </c>
      <c r="L24" s="385"/>
      <c r="M24" s="682" t="s">
        <v>124</v>
      </c>
      <c r="N24" s="601">
        <f>SUM(N25:N28)</f>
        <v>1235</v>
      </c>
      <c r="O24" s="597"/>
      <c r="P24" s="1018">
        <f>N24/$N$24</f>
        <v>1</v>
      </c>
      <c r="Q24" s="216"/>
    </row>
    <row r="25" spans="1:17" ht="16.5" customHeight="1">
      <c r="A25" s="141"/>
      <c r="C25" s="675" t="s">
        <v>118</v>
      </c>
      <c r="D25" s="1146">
        <v>0</v>
      </c>
      <c r="E25" s="388"/>
      <c r="F25" s="598">
        <f t="shared" ref="F25:F30" si="1">ROUND(D25,0)/ROUND($D$24,0)</f>
        <v>0</v>
      </c>
      <c r="G25" s="385"/>
      <c r="H25" s="675" t="s">
        <v>125</v>
      </c>
      <c r="I25" s="783">
        <v>1235</v>
      </c>
      <c r="J25" s="388"/>
      <c r="K25" s="598">
        <f>I25/$I$24</f>
        <v>0.44448443404714771</v>
      </c>
      <c r="L25" s="385"/>
      <c r="M25" s="675" t="s">
        <v>128</v>
      </c>
      <c r="N25" s="783">
        <v>605.5</v>
      </c>
      <c r="O25" s="597"/>
      <c r="P25" s="598">
        <f>ROUND(N25,0)/ROUND($N$24,0)</f>
        <v>0.49068825910931174</v>
      </c>
      <c r="Q25" s="216"/>
    </row>
    <row r="26" spans="1:17" ht="16.5" customHeight="1">
      <c r="A26" s="141"/>
      <c r="C26" s="675" t="s">
        <v>119</v>
      </c>
      <c r="D26" s="1146">
        <v>1889.7</v>
      </c>
      <c r="E26" s="388"/>
      <c r="F26" s="598">
        <f t="shared" si="1"/>
        <v>0.68010075566750627</v>
      </c>
      <c r="G26" s="385"/>
      <c r="H26" s="675" t="s">
        <v>126</v>
      </c>
      <c r="I26" s="783">
        <v>1454.8</v>
      </c>
      <c r="J26" s="388"/>
      <c r="K26" s="598">
        <f>I26/$I$24</f>
        <v>0.52359186611481012</v>
      </c>
      <c r="L26" s="385"/>
      <c r="M26" s="675" t="s">
        <v>129</v>
      </c>
      <c r="N26" s="783">
        <v>13.1</v>
      </c>
      <c r="O26" s="597"/>
      <c r="P26" s="598">
        <f>ROUND(N26,0)/ROUND($N$24,0)</f>
        <v>1.0526315789473684E-2</v>
      </c>
      <c r="Q26" s="216"/>
    </row>
    <row r="27" spans="1:17" ht="16.5" customHeight="1">
      <c r="A27" s="141"/>
      <c r="C27" s="683" t="s">
        <v>355</v>
      </c>
      <c r="D27" s="1146">
        <v>1455.9</v>
      </c>
      <c r="E27" s="388"/>
      <c r="F27" s="598">
        <f t="shared" si="1"/>
        <v>0.52392947103274556</v>
      </c>
      <c r="G27" s="385"/>
      <c r="H27" s="675" t="s">
        <v>127</v>
      </c>
      <c r="I27" s="783">
        <v>89.7</v>
      </c>
      <c r="J27" s="388"/>
      <c r="K27" s="598">
        <f>I27/$I$24</f>
        <v>3.2283606262371783E-2</v>
      </c>
      <c r="L27" s="385"/>
      <c r="M27" s="675" t="s">
        <v>130</v>
      </c>
      <c r="N27" s="783">
        <v>12.8</v>
      </c>
      <c r="O27" s="388"/>
      <c r="P27" s="598">
        <f>ROUND(N27,0)/ROUND($N$24,0)</f>
        <v>1.0526315789473684E-2</v>
      </c>
      <c r="Q27" s="216"/>
    </row>
    <row r="28" spans="1:17" ht="16.5" customHeight="1">
      <c r="A28" s="141"/>
      <c r="C28" s="675" t="s">
        <v>120</v>
      </c>
      <c r="D28" s="1146">
        <v>2.6</v>
      </c>
      <c r="E28" s="388"/>
      <c r="F28" s="598">
        <f>ROUND(D28,0)/ROUND($D$24,0)</f>
        <v>1.0795250089960418E-3</v>
      </c>
      <c r="G28" s="385"/>
      <c r="H28" s="683"/>
      <c r="I28" s="603"/>
      <c r="J28" s="603"/>
      <c r="K28" s="604"/>
      <c r="L28" s="611"/>
      <c r="M28" s="675" t="s">
        <v>131</v>
      </c>
      <c r="N28" s="783">
        <v>603.6</v>
      </c>
      <c r="O28" s="1017"/>
      <c r="P28" s="598">
        <f>ROUND(N28,0)/ROUND($N$24,0)</f>
        <v>0.48906882591093115</v>
      </c>
      <c r="Q28" s="216"/>
    </row>
    <row r="29" spans="1:17" ht="16.5" customHeight="1">
      <c r="A29" s="141"/>
      <c r="C29" s="675" t="s">
        <v>121</v>
      </c>
      <c r="D29" s="1146">
        <v>326.60000000000002</v>
      </c>
      <c r="E29" s="388"/>
      <c r="F29" s="598">
        <f t="shared" si="1"/>
        <v>0.11766822598056854</v>
      </c>
      <c r="G29" s="385"/>
      <c r="H29" s="683"/>
      <c r="I29" s="620"/>
      <c r="J29" s="620"/>
      <c r="K29" s="621"/>
      <c r="L29" s="385"/>
      <c r="M29" s="685"/>
      <c r="N29" s="622"/>
      <c r="O29" s="597"/>
      <c r="P29" s="12"/>
    </row>
    <row r="30" spans="1:17" ht="16.5" customHeight="1">
      <c r="A30" s="141"/>
      <c r="C30" s="675" t="s">
        <v>387</v>
      </c>
      <c r="D30" s="1147">
        <v>560.4</v>
      </c>
      <c r="E30" s="597"/>
      <c r="F30" s="598">
        <f t="shared" si="1"/>
        <v>0.20151133501259447</v>
      </c>
      <c r="G30" s="385"/>
      <c r="H30" s="683"/>
      <c r="I30" s="604"/>
      <c r="J30" s="604"/>
      <c r="K30" s="604"/>
      <c r="L30" s="385"/>
      <c r="M30" s="683"/>
      <c r="N30" s="623"/>
      <c r="O30" s="623"/>
      <c r="P30" s="624"/>
    </row>
    <row r="31" spans="1:17" ht="16.5" customHeight="1" thickBot="1">
      <c r="A31" s="141"/>
      <c r="C31" s="684"/>
      <c r="D31" s="390"/>
      <c r="E31" s="390"/>
      <c r="F31" s="1020"/>
      <c r="G31" s="385"/>
      <c r="H31" s="684"/>
      <c r="I31" s="608"/>
      <c r="J31" s="608"/>
      <c r="K31" s="608"/>
      <c r="L31" s="385"/>
      <c r="M31" s="684"/>
      <c r="N31" s="608"/>
      <c r="O31" s="608"/>
      <c r="P31" s="608"/>
    </row>
    <row r="32" spans="1:17" ht="16.899999999999999" customHeight="1">
      <c r="A32" s="141"/>
      <c r="D32" s="220"/>
      <c r="E32" s="220"/>
      <c r="F32" s="153"/>
      <c r="I32" s="142"/>
      <c r="J32" s="142"/>
      <c r="K32" s="153"/>
      <c r="N32" s="142"/>
      <c r="O32" s="142"/>
      <c r="P32" s="153"/>
    </row>
    <row r="33" spans="1:16" ht="16.899999999999999" customHeight="1">
      <c r="A33" s="141"/>
      <c r="C33" s="226" t="s">
        <v>132</v>
      </c>
      <c r="D33" s="220"/>
      <c r="E33" s="220"/>
      <c r="F33" s="220"/>
      <c r="G33" s="136"/>
      <c r="H33" s="136"/>
      <c r="I33" s="220"/>
      <c r="J33" s="220"/>
      <c r="K33" s="220"/>
      <c r="L33" s="136"/>
      <c r="M33" s="136"/>
      <c r="N33" s="220"/>
      <c r="O33" s="220"/>
      <c r="P33" s="220"/>
    </row>
    <row r="34" spans="1:16" ht="16.5" customHeight="1">
      <c r="A34" s="141"/>
      <c r="C34" s="106" t="s">
        <v>133</v>
      </c>
    </row>
    <row r="35" spans="1:16" ht="16.5" customHeight="1">
      <c r="A35" s="141"/>
      <c r="C35" s="797" t="s">
        <v>134</v>
      </c>
    </row>
    <row r="36" spans="1:16" ht="24.75" customHeight="1">
      <c r="A36" s="141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165"/>
      <c r="D48" s="230"/>
      <c r="E48" s="230"/>
      <c r="F48" s="230"/>
      <c r="G48" s="165"/>
      <c r="H48" s="165"/>
      <c r="I48" s="230"/>
      <c r="J48" s="230"/>
      <c r="K48" s="230"/>
    </row>
    <row r="53" spans="1:16">
      <c r="C53" s="165"/>
      <c r="D53" s="230"/>
      <c r="E53" s="230"/>
      <c r="F53" s="230"/>
      <c r="G53" s="165"/>
      <c r="H53" s="165"/>
      <c r="I53" s="230"/>
      <c r="J53" s="230"/>
      <c r="K53" s="230"/>
    </row>
    <row r="54" spans="1:16">
      <c r="C54" s="165"/>
      <c r="D54" s="230"/>
      <c r="E54" s="230"/>
      <c r="F54" s="230"/>
      <c r="G54" s="165"/>
      <c r="H54" s="165"/>
      <c r="I54" s="230"/>
      <c r="J54" s="230"/>
      <c r="K54" s="230"/>
    </row>
    <row r="64" spans="1:16" s="165" customFormat="1">
      <c r="A64" s="142"/>
      <c r="B64" s="142"/>
      <c r="C64" s="142"/>
      <c r="D64" s="216"/>
      <c r="E64" s="216"/>
      <c r="F64" s="216"/>
      <c r="G64" s="142"/>
      <c r="H64" s="142"/>
      <c r="I64" s="216"/>
      <c r="J64" s="216"/>
      <c r="K64" s="216"/>
      <c r="L64" s="142"/>
      <c r="M64" s="142"/>
      <c r="N64" s="216"/>
      <c r="O64" s="216"/>
      <c r="P64" s="216"/>
    </row>
    <row r="65" spans="1:16">
      <c r="B65" s="246"/>
    </row>
    <row r="66" spans="1:16">
      <c r="B66" s="246"/>
    </row>
    <row r="67" spans="1:16">
      <c r="B67" s="246"/>
    </row>
    <row r="68" spans="1:16">
      <c r="B68" s="246"/>
    </row>
    <row r="69" spans="1:16">
      <c r="B69" s="247"/>
    </row>
    <row r="70" spans="1:16" s="165" customFormat="1">
      <c r="A70" s="142"/>
      <c r="B70" s="247"/>
      <c r="C70" s="142"/>
      <c r="D70" s="216"/>
      <c r="E70" s="216"/>
      <c r="F70" s="216"/>
      <c r="G70" s="142"/>
      <c r="H70" s="142"/>
      <c r="I70" s="216"/>
      <c r="J70" s="216"/>
      <c r="K70" s="216"/>
      <c r="L70" s="142"/>
      <c r="M70" s="142"/>
      <c r="N70" s="216"/>
      <c r="O70" s="216"/>
      <c r="P70" s="216"/>
    </row>
    <row r="71" spans="1:16" s="165" customFormat="1">
      <c r="A71" s="142"/>
      <c r="B71" s="247"/>
      <c r="C71" s="142"/>
      <c r="D71" s="216"/>
      <c r="E71" s="216"/>
      <c r="F71" s="216"/>
      <c r="G71" s="142"/>
      <c r="H71" s="142"/>
      <c r="I71" s="216"/>
      <c r="J71" s="216"/>
      <c r="K71" s="216"/>
      <c r="L71" s="142"/>
      <c r="M71" s="142"/>
      <c r="N71" s="216"/>
      <c r="O71" s="216"/>
      <c r="P71" s="216"/>
    </row>
    <row r="72" spans="1:16">
      <c r="B72" s="248"/>
    </row>
    <row r="73" spans="1:16">
      <c r="B73" s="248"/>
    </row>
    <row r="84" spans="1:16">
      <c r="B84" s="248"/>
    </row>
    <row r="85" spans="1:16">
      <c r="B85" s="248"/>
    </row>
    <row r="86" spans="1:16">
      <c r="B86" s="248"/>
    </row>
    <row r="87" spans="1:16" s="165" customFormat="1">
      <c r="A87" s="142"/>
      <c r="B87" s="248"/>
      <c r="C87" s="142"/>
      <c r="D87" s="216"/>
      <c r="E87" s="216"/>
      <c r="F87" s="216"/>
      <c r="G87" s="142"/>
      <c r="H87" s="142"/>
      <c r="I87" s="216"/>
      <c r="J87" s="216"/>
      <c r="K87" s="216"/>
      <c r="L87" s="142"/>
      <c r="M87" s="142"/>
      <c r="N87" s="216"/>
      <c r="O87" s="216"/>
      <c r="P87" s="216"/>
    </row>
    <row r="88" spans="1:16">
      <c r="B88" s="248"/>
    </row>
    <row r="90" spans="1:16">
      <c r="B90" s="165"/>
    </row>
    <row r="92" spans="1:16" s="165" customFormat="1">
      <c r="A92" s="142"/>
      <c r="B92" s="142"/>
      <c r="C92" s="142"/>
      <c r="D92" s="216"/>
      <c r="E92" s="216"/>
      <c r="F92" s="216"/>
      <c r="G92" s="142"/>
      <c r="H92" s="142"/>
      <c r="I92" s="216"/>
      <c r="J92" s="216"/>
      <c r="K92" s="216"/>
      <c r="L92" s="142"/>
      <c r="M92" s="142"/>
      <c r="N92" s="216"/>
      <c r="O92" s="216"/>
      <c r="P92" s="216"/>
    </row>
    <row r="93" spans="1:16" s="165" customFormat="1">
      <c r="A93" s="142"/>
      <c r="B93" s="142"/>
      <c r="C93" s="142"/>
      <c r="D93" s="216"/>
      <c r="E93" s="216"/>
      <c r="F93" s="216"/>
      <c r="G93" s="142"/>
      <c r="H93" s="142"/>
      <c r="I93" s="216"/>
      <c r="J93" s="216"/>
      <c r="K93" s="216"/>
      <c r="L93" s="142"/>
      <c r="M93" s="142"/>
      <c r="N93" s="216"/>
      <c r="O93" s="216"/>
      <c r="P93" s="216"/>
    </row>
    <row r="96" spans="1:16">
      <c r="B96" s="165"/>
    </row>
    <row r="97" spans="2:2">
      <c r="B97" s="165"/>
    </row>
    <row r="113" spans="2:16">
      <c r="B113" s="165"/>
    </row>
    <row r="115" spans="2:16">
      <c r="L115" s="165"/>
      <c r="M115" s="165"/>
      <c r="N115" s="230"/>
      <c r="O115" s="230"/>
      <c r="P115" s="230"/>
    </row>
    <row r="118" spans="2:16">
      <c r="B118" s="165"/>
    </row>
    <row r="119" spans="2:16">
      <c r="B119" s="165"/>
    </row>
    <row r="121" spans="2:16">
      <c r="L121" s="165"/>
      <c r="M121" s="165"/>
      <c r="N121" s="230"/>
      <c r="O121" s="230"/>
      <c r="P121" s="230"/>
    </row>
    <row r="122" spans="2:16">
      <c r="L122" s="165"/>
      <c r="M122" s="165"/>
      <c r="N122" s="230"/>
      <c r="O122" s="230"/>
      <c r="P122" s="230"/>
    </row>
    <row r="138" spans="12:16">
      <c r="L138" s="165"/>
      <c r="M138" s="165"/>
      <c r="N138" s="230"/>
      <c r="O138" s="230"/>
      <c r="P138" s="230"/>
    </row>
    <row r="143" spans="12:16">
      <c r="L143" s="165"/>
      <c r="M143" s="165"/>
      <c r="N143" s="230"/>
      <c r="O143" s="230"/>
      <c r="P143" s="230"/>
    </row>
    <row r="144" spans="12:16">
      <c r="L144" s="165"/>
      <c r="M144" s="165"/>
      <c r="N144" s="230"/>
      <c r="O144" s="230"/>
      <c r="P144" s="230"/>
    </row>
  </sheetData>
  <mergeCells count="6">
    <mergeCell ref="D23:F23"/>
    <mergeCell ref="I23:K23"/>
    <mergeCell ref="N23:P23"/>
    <mergeCell ref="D8:F8"/>
    <mergeCell ref="I8:K8"/>
    <mergeCell ref="N8:P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view="pageBreakPreview" topLeftCell="A16" zoomScale="91" zoomScaleNormal="100" zoomScaleSheetLayoutView="91" workbookViewId="0">
      <selection activeCell="C32" sqref="C32:C33"/>
    </sheetView>
  </sheetViews>
  <sheetFormatPr defaultRowHeight="11.25"/>
  <cols>
    <col min="1" max="1" width="19" style="142" customWidth="1"/>
    <col min="2" max="2" width="3.7109375" style="142" customWidth="1"/>
    <col min="3" max="3" width="14.5703125" style="166" customWidth="1"/>
    <col min="4" max="4" width="13.140625" style="142" customWidth="1"/>
    <col min="5" max="5" width="0.5703125" style="142" customWidth="1"/>
    <col min="6" max="6" width="13.140625" style="142" customWidth="1"/>
    <col min="7" max="7" width="0.5703125" style="142" customWidth="1"/>
    <col min="8" max="8" width="13.140625" style="142" bestFit="1" customWidth="1"/>
    <col min="9" max="9" width="0.5703125" style="142" customWidth="1"/>
    <col min="10" max="10" width="13.140625" style="142" customWidth="1"/>
    <col min="11" max="11" width="0.5703125" style="142" customWidth="1"/>
    <col min="12" max="12" width="13.140625" style="142" customWidth="1"/>
    <col min="13" max="13" width="0.5703125" style="142" customWidth="1"/>
    <col min="14" max="14" width="13.140625" style="142" customWidth="1"/>
    <col min="15" max="15" width="0.5703125" style="142" customWidth="1"/>
    <col min="16" max="16" width="12.7109375" style="142" customWidth="1"/>
    <col min="17" max="17" width="1.5703125" style="142" customWidth="1"/>
    <col min="18" max="18" width="12.7109375" style="258" customWidth="1"/>
    <col min="19" max="20" width="1.28515625" style="142" customWidth="1"/>
    <col min="21" max="21" width="9.85546875" style="142" customWidth="1"/>
    <col min="22" max="16384" width="9.140625" style="142"/>
  </cols>
  <sheetData>
    <row r="1" spans="1:21" s="118" customFormat="1" ht="30" customHeight="1">
      <c r="A1" s="812"/>
      <c r="B1" s="137"/>
      <c r="C1" s="1405" t="s">
        <v>461</v>
      </c>
      <c r="D1" s="1405"/>
      <c r="E1" s="1405"/>
      <c r="F1" s="1405"/>
      <c r="G1" s="1405"/>
      <c r="H1" s="1405"/>
      <c r="I1" s="1405"/>
      <c r="J1" s="1405"/>
      <c r="K1" s="1405"/>
      <c r="L1" s="1405"/>
      <c r="M1" s="1405"/>
      <c r="N1" s="1405"/>
      <c r="O1" s="1405"/>
      <c r="P1" s="1405"/>
      <c r="Q1" s="1405"/>
      <c r="R1" s="1405"/>
      <c r="S1" s="1405"/>
      <c r="T1" s="1405"/>
      <c r="U1" s="249"/>
    </row>
    <row r="2" spans="1:21" s="118" customFormat="1" ht="36" hidden="1" customHeight="1">
      <c r="A2" s="138"/>
      <c r="C2" s="139"/>
      <c r="F2" s="121"/>
      <c r="G2" s="121"/>
      <c r="H2" s="121"/>
      <c r="I2" s="121"/>
      <c r="J2" s="121"/>
      <c r="K2" s="121"/>
      <c r="R2" s="147"/>
      <c r="U2" s="121"/>
    </row>
    <row r="3" spans="1:21" s="118" customFormat="1" ht="36" hidden="1" customHeight="1">
      <c r="A3" s="138"/>
      <c r="C3" s="140"/>
      <c r="F3" s="121"/>
      <c r="G3" s="121"/>
      <c r="H3" s="121"/>
      <c r="I3" s="121"/>
      <c r="J3" s="121"/>
      <c r="K3" s="121"/>
      <c r="R3" s="147"/>
      <c r="U3" s="121"/>
    </row>
    <row r="4" spans="1:21" s="118" customFormat="1" ht="36" hidden="1" customHeight="1">
      <c r="A4" s="138"/>
      <c r="C4" s="140"/>
      <c r="F4" s="121"/>
      <c r="G4" s="121"/>
      <c r="H4" s="121"/>
      <c r="I4" s="121"/>
      <c r="J4" s="121"/>
      <c r="K4" s="121"/>
      <c r="R4" s="147"/>
      <c r="U4" s="121"/>
    </row>
    <row r="5" spans="1:21" s="118" customFormat="1" ht="36" hidden="1" customHeight="1">
      <c r="A5" s="138"/>
      <c r="C5" s="140"/>
      <c r="F5" s="121"/>
      <c r="G5" s="121"/>
      <c r="H5" s="121"/>
      <c r="I5" s="121"/>
      <c r="J5" s="121"/>
      <c r="K5" s="121"/>
      <c r="R5" s="147"/>
      <c r="U5" s="121"/>
    </row>
    <row r="6" spans="1:21" s="118" customFormat="1" ht="36" hidden="1" customHeight="1">
      <c r="A6" s="138"/>
      <c r="C6" s="140"/>
      <c r="F6" s="121"/>
      <c r="G6" s="121"/>
      <c r="H6" s="121"/>
      <c r="I6" s="121"/>
      <c r="J6" s="121"/>
      <c r="K6" s="121"/>
      <c r="R6" s="147"/>
      <c r="U6" s="121"/>
    </row>
    <row r="7" spans="1:21" s="118" customFormat="1" ht="36" hidden="1" customHeight="1">
      <c r="A7" s="138"/>
      <c r="C7" s="140"/>
      <c r="F7" s="121"/>
      <c r="G7" s="121"/>
      <c r="H7" s="121"/>
      <c r="I7" s="121"/>
      <c r="J7" s="121"/>
      <c r="K7" s="121"/>
      <c r="R7" s="147"/>
      <c r="U7" s="121"/>
    </row>
    <row r="8" spans="1:21" s="118" customFormat="1" ht="36" hidden="1" customHeight="1">
      <c r="A8" s="138"/>
      <c r="C8" s="140"/>
      <c r="F8" s="121"/>
      <c r="G8" s="121"/>
      <c r="H8" s="121"/>
      <c r="I8" s="121"/>
      <c r="J8" s="121"/>
      <c r="K8" s="121"/>
      <c r="R8" s="147"/>
      <c r="U8" s="121"/>
    </row>
    <row r="9" spans="1:21" s="118" customFormat="1" ht="28.5" hidden="1" customHeight="1">
      <c r="A9" s="138"/>
      <c r="C9" s="140"/>
      <c r="F9" s="121"/>
      <c r="G9" s="121"/>
      <c r="H9" s="121"/>
      <c r="I9" s="121"/>
      <c r="J9" s="121"/>
      <c r="K9" s="121"/>
      <c r="R9" s="147"/>
      <c r="U9" s="121"/>
    </row>
    <row r="10" spans="1:21" s="118" customFormat="1" ht="24.75" customHeight="1">
      <c r="A10" s="138"/>
      <c r="C10" s="140"/>
      <c r="F10" s="121"/>
      <c r="G10" s="121"/>
      <c r="H10" s="121"/>
      <c r="I10" s="121"/>
      <c r="J10" s="121"/>
      <c r="K10" s="121"/>
      <c r="R10" s="147"/>
      <c r="U10" s="121"/>
    </row>
    <row r="11" spans="1:21" s="118" customFormat="1" ht="2.25" customHeight="1">
      <c r="A11" s="138"/>
      <c r="C11" s="140"/>
      <c r="F11" s="121"/>
      <c r="G11" s="121"/>
      <c r="H11" s="121"/>
      <c r="I11" s="121"/>
      <c r="J11" s="121"/>
      <c r="K11" s="121"/>
      <c r="R11" s="147"/>
      <c r="U11" s="121"/>
    </row>
    <row r="12" spans="1:21" ht="16.899999999999999" customHeight="1">
      <c r="A12" s="141"/>
      <c r="C12" s="22" t="s">
        <v>404</v>
      </c>
      <c r="D12" s="122"/>
      <c r="E12" s="122"/>
      <c r="F12" s="122"/>
      <c r="G12" s="122"/>
      <c r="H12" s="122"/>
      <c r="I12" s="122"/>
      <c r="J12" s="122"/>
      <c r="K12" s="122"/>
      <c r="L12" s="143"/>
      <c r="M12" s="143"/>
      <c r="N12" s="143"/>
      <c r="O12" s="143"/>
      <c r="P12" s="143"/>
      <c r="Q12" s="143"/>
      <c r="R12" s="143"/>
      <c r="S12" s="143"/>
      <c r="T12" s="143"/>
    </row>
    <row r="13" spans="1:21" ht="16.899999999999999" customHeight="1">
      <c r="A13" s="215"/>
      <c r="C13" s="135"/>
      <c r="D13" s="122"/>
      <c r="E13" s="122"/>
      <c r="F13" s="122"/>
      <c r="G13" s="122"/>
      <c r="H13" s="122"/>
      <c r="I13" s="122"/>
      <c r="J13" s="122"/>
      <c r="K13" s="122"/>
      <c r="L13" s="143"/>
      <c r="M13" s="143"/>
      <c r="N13" s="143"/>
      <c r="O13" s="143"/>
      <c r="P13" s="143"/>
      <c r="Q13" s="143"/>
      <c r="R13" s="176"/>
      <c r="S13" s="143"/>
      <c r="T13" s="143"/>
      <c r="U13" s="932"/>
    </row>
    <row r="14" spans="1:21" ht="24" customHeight="1">
      <c r="A14" s="215"/>
      <c r="C14" s="144" t="s">
        <v>137</v>
      </c>
      <c r="D14" s="39" t="s">
        <v>138</v>
      </c>
      <c r="E14" s="39"/>
      <c r="F14" s="39" t="s">
        <v>139</v>
      </c>
      <c r="G14" s="39"/>
      <c r="H14" s="39" t="s">
        <v>140</v>
      </c>
      <c r="I14" s="39"/>
      <c r="J14" s="39" t="s">
        <v>141</v>
      </c>
      <c r="K14" s="39"/>
      <c r="L14" s="39" t="s">
        <v>142</v>
      </c>
      <c r="M14" s="39"/>
      <c r="N14" s="39" t="s">
        <v>143</v>
      </c>
      <c r="O14" s="39"/>
      <c r="P14" s="494" t="s">
        <v>144</v>
      </c>
      <c r="Q14" s="39"/>
      <c r="R14" s="494" t="s">
        <v>145</v>
      </c>
      <c r="S14" s="145"/>
      <c r="T14" s="147"/>
      <c r="U14" s="147"/>
    </row>
    <row r="15" spans="1:21" ht="28.5" customHeight="1">
      <c r="A15" s="250"/>
      <c r="B15" s="563"/>
      <c r="C15" s="694" t="s">
        <v>187</v>
      </c>
      <c r="D15" s="1149">
        <v>13682.996043478001</v>
      </c>
      <c r="E15" s="1149"/>
      <c r="F15" s="1149">
        <v>10705.601566031</v>
      </c>
      <c r="G15" s="1149"/>
      <c r="H15" s="1149">
        <v>23445.499339208902</v>
      </c>
      <c r="I15" s="1149"/>
      <c r="J15" s="1149">
        <v>13431.108</v>
      </c>
      <c r="K15" s="1149"/>
      <c r="L15" s="1149">
        <v>6499.6369999999997</v>
      </c>
      <c r="M15" s="1149"/>
      <c r="N15" s="1149">
        <v>810.46119012799898</v>
      </c>
      <c r="O15" s="1149"/>
      <c r="P15" s="1149">
        <v>545.33000000000004</v>
      </c>
      <c r="Q15" s="1150"/>
      <c r="R15" s="1151">
        <f>69120.633+1</f>
        <v>69121.633000000002</v>
      </c>
      <c r="S15" s="1169"/>
      <c r="T15" s="121"/>
      <c r="U15" s="121"/>
    </row>
    <row r="16" spans="1:21" ht="28.5" customHeight="1" thickBot="1">
      <c r="A16" s="215"/>
      <c r="C16" s="695" t="s">
        <v>12</v>
      </c>
      <c r="D16" s="962">
        <f>D15/$R$15</f>
        <v>0.19795533539373991</v>
      </c>
      <c r="E16" s="963"/>
      <c r="F16" s="962">
        <f>F15/$R$15</f>
        <v>0.1548806227716148</v>
      </c>
      <c r="G16" s="963"/>
      <c r="H16" s="962">
        <f>H15/$R$15</f>
        <v>0.33919191896419609</v>
      </c>
      <c r="I16" s="963"/>
      <c r="J16" s="962">
        <f>J15/$R$15</f>
        <v>0.19431120789637593</v>
      </c>
      <c r="K16" s="963"/>
      <c r="L16" s="962">
        <f>L15/$R$15</f>
        <v>9.4031878558193199E-2</v>
      </c>
      <c r="M16" s="963"/>
      <c r="N16" s="962">
        <f>N15/$R$15</f>
        <v>1.1725145297536575E-2</v>
      </c>
      <c r="O16" s="963"/>
      <c r="P16" s="962">
        <f>P15/$R$15</f>
        <v>7.8894258762665526E-3</v>
      </c>
      <c r="Q16" s="963"/>
      <c r="R16" s="964">
        <f>D16+F16+H16+J16+L16+N16+P16</f>
        <v>0.99998553475792296</v>
      </c>
      <c r="S16" s="251"/>
      <c r="T16" s="128"/>
      <c r="U16" s="129"/>
    </row>
    <row r="17" spans="1:21" ht="7.5" customHeight="1">
      <c r="A17" s="215"/>
      <c r="C17" s="15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43"/>
      <c r="S17" s="122"/>
      <c r="T17" s="136"/>
      <c r="U17" s="136"/>
    </row>
    <row r="18" spans="1:21" ht="12.75" customHeight="1">
      <c r="A18" s="215"/>
      <c r="C18" s="495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43"/>
      <c r="S18" s="122"/>
      <c r="T18" s="136"/>
      <c r="U18" s="136"/>
    </row>
    <row r="19" spans="1:21" ht="12.75" customHeight="1">
      <c r="A19" s="215"/>
      <c r="C19" s="495"/>
      <c r="D19" s="122"/>
      <c r="E19" s="122"/>
      <c r="F19" s="122"/>
      <c r="G19" s="122"/>
      <c r="H19" s="122"/>
      <c r="I19" s="122"/>
      <c r="J19" s="252"/>
      <c r="K19" s="122"/>
      <c r="L19" s="122"/>
      <c r="M19" s="122"/>
      <c r="N19" s="122"/>
      <c r="O19" s="122"/>
      <c r="P19" s="122"/>
      <c r="Q19" s="122"/>
      <c r="R19" s="143"/>
      <c r="S19" s="122"/>
      <c r="T19" s="136"/>
      <c r="U19" s="136"/>
    </row>
    <row r="20" spans="1:21" ht="10.5" customHeight="1">
      <c r="A20" s="215"/>
      <c r="C20" s="156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53"/>
      <c r="R20" s="254"/>
      <c r="S20" s="122"/>
      <c r="T20" s="136"/>
      <c r="U20" s="136"/>
    </row>
    <row r="21" spans="1:21" ht="10.5" customHeight="1">
      <c r="A21" s="215"/>
      <c r="C21" s="156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43"/>
      <c r="S21" s="122"/>
      <c r="T21" s="136"/>
      <c r="U21" s="136"/>
    </row>
    <row r="22" spans="1:21" ht="16.899999999999999" customHeight="1">
      <c r="A22" s="215"/>
      <c r="C22" s="22" t="s">
        <v>405</v>
      </c>
      <c r="D22" s="122"/>
      <c r="E22" s="122"/>
      <c r="F22" s="255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43"/>
      <c r="S22" s="122"/>
      <c r="T22" s="122"/>
      <c r="U22" s="136"/>
    </row>
    <row r="23" spans="1:21" ht="12.75" customHeight="1">
      <c r="A23" s="215"/>
      <c r="C23" s="135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76"/>
      <c r="S23" s="122"/>
      <c r="T23" s="121"/>
      <c r="U23" s="121"/>
    </row>
    <row r="24" spans="1:21" ht="24" customHeight="1">
      <c r="A24" s="215"/>
      <c r="C24" s="144" t="s">
        <v>137</v>
      </c>
      <c r="D24" s="39" t="s">
        <v>138</v>
      </c>
      <c r="E24" s="39"/>
      <c r="F24" s="39" t="s">
        <v>139</v>
      </c>
      <c r="G24" s="39"/>
      <c r="H24" s="39" t="s">
        <v>140</v>
      </c>
      <c r="I24" s="39"/>
      <c r="J24" s="39" t="s">
        <v>141</v>
      </c>
      <c r="K24" s="39"/>
      <c r="L24" s="39" t="s">
        <v>142</v>
      </c>
      <c r="M24" s="39"/>
      <c r="N24" s="39" t="s">
        <v>143</v>
      </c>
      <c r="O24" s="39"/>
      <c r="P24" s="494" t="s">
        <v>144</v>
      </c>
      <c r="Q24" s="39"/>
      <c r="R24" s="494" t="s">
        <v>145</v>
      </c>
      <c r="S24" s="145"/>
      <c r="T24" s="147"/>
      <c r="U24" s="157"/>
    </row>
    <row r="25" spans="1:21" ht="28.5" customHeight="1">
      <c r="A25" s="250"/>
      <c r="B25" s="563"/>
      <c r="C25" s="694" t="s">
        <v>187</v>
      </c>
      <c r="D25" s="1149">
        <v>7526.0209999999997</v>
      </c>
      <c r="E25" s="1149"/>
      <c r="F25" s="1149">
        <v>9234.1049999999996</v>
      </c>
      <c r="G25" s="1149"/>
      <c r="H25" s="1149">
        <v>19062.915000000001</v>
      </c>
      <c r="I25" s="1149"/>
      <c r="J25" s="1149">
        <v>15320.16</v>
      </c>
      <c r="K25" s="1149"/>
      <c r="L25" s="1149">
        <v>6371.7820000000002</v>
      </c>
      <c r="M25" s="1149"/>
      <c r="N25" s="1149">
        <v>46357.031999999999</v>
      </c>
      <c r="O25" s="1149"/>
      <c r="P25" s="1149">
        <v>303.67</v>
      </c>
      <c r="Q25" s="1152"/>
      <c r="R25" s="1151">
        <v>104175.68399999999</v>
      </c>
      <c r="S25" s="1170"/>
      <c r="T25" s="121"/>
      <c r="U25" s="121"/>
    </row>
    <row r="26" spans="1:21" ht="28.5" customHeight="1" thickBot="1">
      <c r="A26" s="215"/>
      <c r="C26" s="695" t="s">
        <v>13</v>
      </c>
      <c r="D26" s="962">
        <f>D25/$R$25</f>
        <v>7.2243547736149258E-2</v>
      </c>
      <c r="E26" s="965"/>
      <c r="F26" s="962">
        <f>F25/$R$25</f>
        <v>8.8639734777263376E-2</v>
      </c>
      <c r="G26" s="965"/>
      <c r="H26" s="962">
        <f>H25/$R$25</f>
        <v>0.18298814337518535</v>
      </c>
      <c r="I26" s="965"/>
      <c r="J26" s="962">
        <f>J25/$R$25</f>
        <v>0.14706080547548889</v>
      </c>
      <c r="K26" s="965"/>
      <c r="L26" s="962">
        <f>L25/$R$25</f>
        <v>6.1163812468944291E-2</v>
      </c>
      <c r="M26" s="965"/>
      <c r="N26" s="962">
        <f>N25/$R$25</f>
        <v>0.44498898610543325</v>
      </c>
      <c r="O26" s="965"/>
      <c r="P26" s="962">
        <f>P25/$R$25</f>
        <v>2.9149796607047E-3</v>
      </c>
      <c r="Q26" s="965"/>
      <c r="R26" s="964">
        <f>D26+F26+H26+J26+L26+N26+P26</f>
        <v>1.000000009599169</v>
      </c>
      <c r="S26" s="251"/>
      <c r="T26" s="220"/>
      <c r="U26" s="151"/>
    </row>
    <row r="27" spans="1:21" ht="5.25" customHeight="1">
      <c r="A27" s="215"/>
      <c r="C27" s="437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256"/>
      <c r="S27" s="163"/>
      <c r="T27" s="164"/>
      <c r="U27" s="164"/>
    </row>
    <row r="28" spans="1:21" ht="12.75" customHeight="1">
      <c r="A28" s="215"/>
      <c r="C28" s="495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43"/>
      <c r="S28" s="163"/>
      <c r="T28" s="164"/>
      <c r="U28" s="164"/>
    </row>
    <row r="29" spans="1:21" ht="12.75" customHeight="1">
      <c r="A29" s="215"/>
      <c r="C29" s="495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256"/>
      <c r="S29" s="163"/>
      <c r="T29" s="164"/>
      <c r="U29" s="164"/>
    </row>
    <row r="30" spans="1:21" ht="10.5" customHeight="1">
      <c r="A30" s="215"/>
      <c r="C30" s="446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256"/>
      <c r="S30" s="163"/>
      <c r="T30" s="164"/>
      <c r="U30" s="164"/>
    </row>
    <row r="31" spans="1:21" ht="10.5" customHeight="1">
      <c r="A31" s="215"/>
      <c r="B31" s="165"/>
      <c r="C31" s="437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54"/>
      <c r="S31" s="163"/>
      <c r="T31" s="163"/>
      <c r="U31" s="163"/>
    </row>
    <row r="32" spans="1:21" ht="16.5" customHeight="1">
      <c r="A32" s="215"/>
      <c r="B32" s="165"/>
      <c r="C32" s="22" t="s">
        <v>406</v>
      </c>
      <c r="D32" s="122"/>
      <c r="E32" s="122"/>
      <c r="F32" s="255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43"/>
      <c r="S32" s="122"/>
      <c r="T32" s="10"/>
      <c r="U32" s="10"/>
    </row>
    <row r="33" spans="1:19" ht="12.75" customHeight="1">
      <c r="A33" s="215"/>
      <c r="C33" s="135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76"/>
      <c r="S33" s="122"/>
    </row>
    <row r="34" spans="1:19" ht="24" customHeight="1">
      <c r="A34" s="215"/>
      <c r="C34" s="144" t="s">
        <v>137</v>
      </c>
      <c r="D34" s="39" t="s">
        <v>138</v>
      </c>
      <c r="E34" s="39"/>
      <c r="F34" s="39" t="s">
        <v>139</v>
      </c>
      <c r="G34" s="39"/>
      <c r="H34" s="39" t="s">
        <v>140</v>
      </c>
      <c r="I34" s="39"/>
      <c r="J34" s="39" t="s">
        <v>141</v>
      </c>
      <c r="K34" s="39"/>
      <c r="L34" s="39" t="s">
        <v>142</v>
      </c>
      <c r="M34" s="39"/>
      <c r="N34" s="39" t="s">
        <v>143</v>
      </c>
      <c r="O34" s="39"/>
      <c r="P34" s="494" t="s">
        <v>144</v>
      </c>
      <c r="Q34" s="39"/>
      <c r="R34" s="494" t="s">
        <v>145</v>
      </c>
      <c r="S34" s="145"/>
    </row>
    <row r="35" spans="1:19" ht="28.5" customHeight="1">
      <c r="A35" s="250"/>
      <c r="B35" s="563"/>
      <c r="C35" s="694" t="s">
        <v>187</v>
      </c>
      <c r="D35" s="1151">
        <v>3699.846</v>
      </c>
      <c r="E35" s="1151"/>
      <c r="F35" s="1151">
        <v>4616.6490000000003</v>
      </c>
      <c r="G35" s="1151"/>
      <c r="H35" s="1151">
        <v>9625.4040000000005</v>
      </c>
      <c r="I35" s="1151"/>
      <c r="J35" s="1151">
        <v>13566.97</v>
      </c>
      <c r="K35" s="1151"/>
      <c r="L35" s="1151">
        <v>4382.8639999999996</v>
      </c>
      <c r="M35" s="1151"/>
      <c r="N35" s="1151">
        <v>45921.57</v>
      </c>
      <c r="O35" s="1151"/>
      <c r="P35" s="1151">
        <v>186.03200000000001</v>
      </c>
      <c r="Q35" s="1153"/>
      <c r="R35" s="1151">
        <v>81999.335999999996</v>
      </c>
      <c r="S35" s="1169"/>
    </row>
    <row r="36" spans="1:19" ht="28.5" customHeight="1" thickBot="1">
      <c r="A36" s="141"/>
      <c r="C36" s="695" t="s">
        <v>13</v>
      </c>
      <c r="D36" s="962">
        <f>D35/$R$35</f>
        <v>4.5120438536234E-2</v>
      </c>
      <c r="E36" s="965"/>
      <c r="F36" s="962">
        <f>F35/$R$35</f>
        <v>5.630105346218902E-2</v>
      </c>
      <c r="G36" s="965"/>
      <c r="H36" s="962">
        <f>H35/$R$35</f>
        <v>0.11738392613325553</v>
      </c>
      <c r="I36" s="965"/>
      <c r="J36" s="962">
        <f>J35/$R$35</f>
        <v>0.16545219341776132</v>
      </c>
      <c r="K36" s="965"/>
      <c r="L36" s="962">
        <f>L35/$R$35</f>
        <v>5.3449993790193613E-2</v>
      </c>
      <c r="M36" s="965"/>
      <c r="N36" s="962">
        <f>N35/$R$35</f>
        <v>0.56002368116736945</v>
      </c>
      <c r="O36" s="965"/>
      <c r="P36" s="962">
        <f>P35/$R$35</f>
        <v>2.2687012977763627E-3</v>
      </c>
      <c r="Q36" s="965"/>
      <c r="R36" s="964">
        <f>D36+F36+H36+J36+L36+N36+P36</f>
        <v>0.99999998780477928</v>
      </c>
      <c r="S36" s="251"/>
    </row>
    <row r="37" spans="1:19" ht="17.25" customHeight="1">
      <c r="A37" s="141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57"/>
      <c r="S37" s="216"/>
    </row>
    <row r="38" spans="1:19" ht="18" customHeight="1">
      <c r="A38" s="141"/>
      <c r="C38" s="920" t="s">
        <v>552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43"/>
    </row>
    <row r="39" spans="1:19" ht="18" customHeight="1">
      <c r="A39" s="141"/>
      <c r="C39" s="920" t="s">
        <v>146</v>
      </c>
    </row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spans="2:21" ht="18" customHeight="1"/>
    <row r="50" spans="2:21" ht="18" customHeight="1"/>
    <row r="51" spans="2:21" ht="18" customHeight="1"/>
    <row r="52" spans="2:21" ht="18" customHeight="1"/>
    <row r="53" spans="2:21" ht="18" customHeight="1"/>
    <row r="54" spans="2:21" ht="18" customHeight="1"/>
    <row r="55" spans="2:21" ht="18" customHeight="1"/>
    <row r="56" spans="2:21" ht="18" customHeight="1"/>
    <row r="57" spans="2:21" ht="18" customHeight="1"/>
    <row r="58" spans="2:21" ht="18" customHeight="1"/>
    <row r="59" spans="2:21" ht="18" customHeight="1"/>
    <row r="60" spans="2:21" s="165" customFormat="1" ht="18" customHeight="1">
      <c r="B60" s="142"/>
      <c r="C60" s="166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258"/>
      <c r="S60" s="142"/>
      <c r="T60" s="142"/>
      <c r="U60" s="142"/>
    </row>
    <row r="61" spans="2:21" ht="18" customHeight="1"/>
    <row r="62" spans="2:21" ht="18" customHeight="1"/>
    <row r="63" spans="2:21" ht="18" customHeight="1"/>
    <row r="64" spans="2:21" ht="18" customHeight="1"/>
    <row r="65" spans="2:21" ht="18" customHeight="1"/>
    <row r="66" spans="2:21" s="165" customFormat="1" ht="18" customHeight="1">
      <c r="B66" s="142"/>
      <c r="C66" s="166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258"/>
      <c r="S66" s="142"/>
      <c r="T66" s="142"/>
      <c r="U66" s="142"/>
    </row>
    <row r="67" spans="2:21" s="165" customFormat="1" ht="18" customHeight="1">
      <c r="B67" s="142"/>
      <c r="C67" s="166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258"/>
      <c r="S67" s="142"/>
      <c r="T67" s="142"/>
      <c r="U67" s="142"/>
    </row>
    <row r="68" spans="2:21" ht="18" customHeight="1"/>
    <row r="69" spans="2:21" ht="18" customHeight="1"/>
    <row r="70" spans="2:21" ht="18" customHeight="1"/>
    <row r="71" spans="2:21" ht="18" customHeight="1"/>
    <row r="72" spans="2:21" ht="18" customHeight="1"/>
    <row r="73" spans="2:21" ht="18" customHeight="1"/>
    <row r="74" spans="2:21" ht="18" customHeight="1"/>
    <row r="75" spans="2:21" ht="18" customHeight="1"/>
    <row r="76" spans="2:21" ht="18" customHeight="1"/>
    <row r="77" spans="2:21" ht="18" customHeight="1"/>
    <row r="78" spans="2:21" ht="18" customHeight="1"/>
    <row r="79" spans="2:21" ht="18" customHeight="1"/>
    <row r="80" spans="2:21" ht="18" customHeight="1"/>
    <row r="81" spans="2:21" ht="18" customHeight="1"/>
    <row r="82" spans="2:21" ht="18" customHeight="1"/>
    <row r="83" spans="2:21" s="165" customFormat="1" ht="17.100000000000001" customHeight="1">
      <c r="B83" s="142"/>
      <c r="C83" s="166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258"/>
      <c r="S83" s="142"/>
      <c r="T83" s="142"/>
      <c r="U83" s="142"/>
    </row>
    <row r="84" spans="2:21" ht="17.100000000000001" customHeight="1"/>
    <row r="85" spans="2:21" ht="17.100000000000001" customHeight="1"/>
    <row r="86" spans="2:21" ht="17.100000000000001" customHeight="1"/>
    <row r="87" spans="2:21" ht="17.100000000000001" customHeight="1"/>
    <row r="88" spans="2:21" s="165" customFormat="1" ht="17.100000000000001" customHeight="1">
      <c r="B88" s="142"/>
      <c r="C88" s="166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258"/>
      <c r="S88" s="142"/>
      <c r="T88" s="142"/>
      <c r="U88" s="142"/>
    </row>
    <row r="89" spans="2:21" s="165" customFormat="1" ht="17.100000000000001" customHeight="1">
      <c r="B89" s="142"/>
      <c r="C89" s="166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258"/>
      <c r="S89" s="142"/>
      <c r="T89" s="142"/>
      <c r="U89" s="142"/>
    </row>
  </sheetData>
  <mergeCells count="1">
    <mergeCell ref="C1:T1"/>
  </mergeCells>
  <phoneticPr fontId="3" type="noConversion"/>
  <hyperlinks>
    <hyperlink ref="C2:J2" location="ToC!A1" display="Loan Breakdown"/>
    <hyperlink ref="F2:L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showGridLines="0" view="pageBreakPreview" topLeftCell="A10" zoomScale="90" zoomScaleNormal="85" zoomScaleSheetLayoutView="90" workbookViewId="0">
      <selection activeCell="C32" sqref="C32:C33"/>
    </sheetView>
  </sheetViews>
  <sheetFormatPr defaultRowHeight="15"/>
  <cols>
    <col min="1" max="1" width="18.7109375" style="77" customWidth="1"/>
    <col min="2" max="2" width="3.85546875" style="77" customWidth="1"/>
    <col min="3" max="3" width="10" style="77" customWidth="1"/>
    <col min="4" max="4" width="18.42578125" style="77" customWidth="1"/>
    <col min="5" max="11" width="19.5703125" style="77" customWidth="1"/>
    <col min="12" max="13" width="1.28515625" style="77" customWidth="1"/>
    <col min="14" max="26" width="8.140625" style="77" customWidth="1"/>
    <col min="27" max="16384" width="9.140625" style="77"/>
  </cols>
  <sheetData>
    <row r="1" spans="1:24" ht="30" customHeight="1">
      <c r="A1" s="813"/>
      <c r="B1" s="167"/>
      <c r="C1" s="333" t="s">
        <v>439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167"/>
    </row>
    <row r="2" spans="1:24">
      <c r="A2" s="168"/>
    </row>
    <row r="3" spans="1:24" ht="15.75">
      <c r="A3" s="168"/>
      <c r="C3" s="858"/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  <c r="P3" s="859"/>
      <c r="Q3" s="859"/>
      <c r="R3" s="859"/>
      <c r="S3" s="859"/>
      <c r="T3" s="859"/>
      <c r="U3" s="859"/>
      <c r="V3" s="859"/>
      <c r="W3" s="859"/>
    </row>
    <row r="4" spans="1:24" ht="17.25">
      <c r="A4" s="168"/>
      <c r="C4" s="863" t="s">
        <v>440</v>
      </c>
      <c r="D4" s="864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3"/>
      <c r="S4" s="1423"/>
      <c r="T4" s="1423"/>
      <c r="U4" s="1423"/>
      <c r="V4" s="1423"/>
      <c r="W4" s="1423"/>
    </row>
    <row r="5" spans="1:24">
      <c r="A5" s="173"/>
      <c r="B5" s="108"/>
      <c r="C5" s="497"/>
      <c r="D5" s="860"/>
      <c r="E5" s="860"/>
      <c r="F5" s="860"/>
      <c r="G5" s="860"/>
      <c r="H5" s="860"/>
      <c r="I5" s="860"/>
      <c r="J5" s="860"/>
      <c r="K5" s="860"/>
      <c r="L5" s="860"/>
      <c r="M5" s="860"/>
      <c r="N5" s="860"/>
      <c r="O5" s="860"/>
      <c r="P5" s="860"/>
      <c r="Q5" s="860"/>
      <c r="R5" s="860"/>
      <c r="S5" s="860"/>
      <c r="T5" s="860"/>
      <c r="U5" s="860"/>
      <c r="V5" s="860"/>
      <c r="W5" s="860"/>
    </row>
    <row r="6" spans="1:24" ht="18.75" customHeight="1">
      <c r="A6" s="173"/>
      <c r="B6" s="108"/>
      <c r="C6" s="144"/>
      <c r="D6" s="144" t="s">
        <v>441</v>
      </c>
      <c r="E6" s="1219" t="s">
        <v>470</v>
      </c>
      <c r="F6" s="1219" t="s">
        <v>471</v>
      </c>
      <c r="G6" s="1219" t="s">
        <v>487</v>
      </c>
      <c r="H6" s="1219" t="s">
        <v>490</v>
      </c>
      <c r="I6" s="1219" t="s">
        <v>493</v>
      </c>
      <c r="J6" s="1219" t="s">
        <v>498</v>
      </c>
      <c r="K6" s="846" t="s">
        <v>540</v>
      </c>
      <c r="L6" s="145"/>
      <c r="M6" s="852"/>
      <c r="N6" s="853"/>
      <c r="O6" s="852"/>
      <c r="P6" s="852"/>
      <c r="Q6" s="853"/>
      <c r="R6" s="852"/>
      <c r="S6" s="852"/>
      <c r="T6" s="853"/>
      <c r="U6" s="852"/>
      <c r="V6" s="852"/>
      <c r="W6" s="853"/>
    </row>
    <row r="7" spans="1:24" ht="18.75" customHeight="1" thickBot="1">
      <c r="A7" s="173"/>
      <c r="B7" s="108"/>
      <c r="C7" s="1427" t="s">
        <v>442</v>
      </c>
      <c r="D7" s="847" t="s">
        <v>443</v>
      </c>
      <c r="E7" s="894">
        <v>1.84E-2</v>
      </c>
      <c r="F7" s="894">
        <v>1.8700000000000001E-2</v>
      </c>
      <c r="G7" s="894">
        <v>1.8599999999999998E-2</v>
      </c>
      <c r="H7" s="894">
        <v>1.8599999999999998E-2</v>
      </c>
      <c r="I7" s="1098">
        <v>1.8499999999999999E-2</v>
      </c>
      <c r="J7" s="1226">
        <v>1.9099999999999999E-2</v>
      </c>
      <c r="K7" s="1171">
        <v>1.9199999999999998E-2</v>
      </c>
      <c r="L7" s="848"/>
      <c r="M7" s="852"/>
      <c r="N7" s="853"/>
      <c r="O7" s="852"/>
      <c r="P7" s="852"/>
      <c r="Q7" s="853"/>
      <c r="R7" s="852"/>
      <c r="S7" s="852"/>
      <c r="T7" s="853"/>
      <c r="U7" s="852"/>
      <c r="V7" s="852"/>
      <c r="W7" s="853"/>
    </row>
    <row r="8" spans="1:24" ht="18.75" customHeight="1">
      <c r="A8" s="173"/>
      <c r="B8" s="108"/>
      <c r="C8" s="1425"/>
      <c r="D8" s="866" t="s">
        <v>457</v>
      </c>
      <c r="E8" s="895">
        <v>4433</v>
      </c>
      <c r="F8" s="895">
        <v>1181.7</v>
      </c>
      <c r="G8" s="895">
        <v>2369.5</v>
      </c>
      <c r="H8" s="895">
        <v>3580.3</v>
      </c>
      <c r="I8" s="1099">
        <v>4787.7</v>
      </c>
      <c r="J8" s="1227">
        <v>1219.4000000000001</v>
      </c>
      <c r="K8" s="1172">
        <v>2476.5</v>
      </c>
      <c r="L8" s="849"/>
      <c r="M8" s="852"/>
      <c r="N8" s="853"/>
      <c r="O8" s="852"/>
      <c r="P8" s="852"/>
      <c r="Q8" s="853"/>
      <c r="R8" s="852"/>
      <c r="S8" s="852"/>
      <c r="T8" s="853"/>
      <c r="U8" s="852"/>
      <c r="V8" s="852"/>
      <c r="W8" s="853"/>
    </row>
    <row r="9" spans="1:24" ht="18.75" customHeight="1" thickBot="1">
      <c r="A9" s="173"/>
      <c r="B9" s="108"/>
      <c r="C9" s="1426"/>
      <c r="D9" s="867" t="s">
        <v>458</v>
      </c>
      <c r="E9" s="896">
        <v>240476.5</v>
      </c>
      <c r="F9" s="896">
        <v>253829.1</v>
      </c>
      <c r="G9" s="896">
        <v>255861.5</v>
      </c>
      <c r="H9" s="896">
        <v>256659.7</v>
      </c>
      <c r="I9" s="1100">
        <v>258402.9</v>
      </c>
      <c r="J9" s="1228">
        <v>259310.4</v>
      </c>
      <c r="K9" s="1173">
        <v>260164.7</v>
      </c>
      <c r="L9" s="850"/>
      <c r="M9" s="852"/>
      <c r="N9" s="853"/>
      <c r="O9" s="852"/>
      <c r="P9" s="852"/>
      <c r="Q9" s="853"/>
      <c r="R9" s="852"/>
      <c r="S9" s="852"/>
      <c r="T9" s="853"/>
      <c r="U9" s="852"/>
      <c r="V9" s="852"/>
      <c r="W9" s="853"/>
    </row>
    <row r="10" spans="1:24" ht="18.75" customHeight="1" thickBot="1">
      <c r="A10" s="173"/>
      <c r="B10" s="108"/>
      <c r="C10" s="1424" t="s">
        <v>444</v>
      </c>
      <c r="D10" s="847" t="s">
        <v>443</v>
      </c>
      <c r="E10" s="894">
        <v>1.41E-2</v>
      </c>
      <c r="F10" s="894">
        <v>1.44E-2</v>
      </c>
      <c r="G10" s="894">
        <v>1.43E-2</v>
      </c>
      <c r="H10" s="894">
        <v>1.4200000000000001E-2</v>
      </c>
      <c r="I10" s="1098">
        <v>1.41E-2</v>
      </c>
      <c r="J10" s="1226">
        <v>1.44E-2</v>
      </c>
      <c r="K10" s="1171">
        <v>1.44199237327974E-2</v>
      </c>
      <c r="L10" s="848"/>
      <c r="M10" s="852"/>
      <c r="N10" s="853"/>
      <c r="O10" s="852"/>
      <c r="P10" s="852"/>
      <c r="Q10" s="853"/>
      <c r="R10" s="852"/>
      <c r="S10" s="852"/>
      <c r="T10" s="853"/>
      <c r="U10" s="852"/>
      <c r="V10" s="852"/>
      <c r="W10" s="853"/>
    </row>
    <row r="11" spans="1:24" ht="18.75" customHeight="1">
      <c r="A11" s="173"/>
      <c r="B11" s="108"/>
      <c r="C11" s="1425"/>
      <c r="D11" s="866" t="s">
        <v>459</v>
      </c>
      <c r="E11" s="897">
        <v>3310.5</v>
      </c>
      <c r="F11" s="897">
        <v>884</v>
      </c>
      <c r="G11" s="897">
        <v>1768.8</v>
      </c>
      <c r="H11" s="897">
        <v>2659.3</v>
      </c>
      <c r="I11" s="1101">
        <v>3539.1</v>
      </c>
      <c r="J11" s="1229">
        <v>892.3</v>
      </c>
      <c r="K11" s="1174">
        <v>1807.0347755299999</v>
      </c>
      <c r="L11" s="851"/>
      <c r="M11" s="852"/>
      <c r="N11" s="853"/>
      <c r="O11" s="852"/>
      <c r="P11" s="852"/>
      <c r="Q11" s="853"/>
      <c r="R11" s="852"/>
      <c r="S11" s="852"/>
      <c r="T11" s="853"/>
      <c r="U11" s="852"/>
      <c r="V11" s="852"/>
      <c r="W11" s="853"/>
    </row>
    <row r="12" spans="1:24" ht="18.75" customHeight="1" thickBot="1">
      <c r="A12" s="173"/>
      <c r="B12" s="108"/>
      <c r="C12" s="1426"/>
      <c r="D12" s="867" t="s">
        <v>460</v>
      </c>
      <c r="E12" s="896">
        <v>234626.4</v>
      </c>
      <c r="F12" s="896">
        <v>247442.2</v>
      </c>
      <c r="G12" s="896">
        <v>249356.6</v>
      </c>
      <c r="H12" s="896">
        <v>250033.9</v>
      </c>
      <c r="I12" s="1100">
        <v>251661.9</v>
      </c>
      <c r="J12" s="1228">
        <v>251987.20000000001</v>
      </c>
      <c r="K12" s="1173">
        <v>252707.32850028601</v>
      </c>
      <c r="L12" s="850"/>
      <c r="M12" s="852"/>
      <c r="N12" s="853"/>
      <c r="O12" s="852"/>
      <c r="P12" s="852"/>
      <c r="Q12" s="853"/>
      <c r="R12" s="852"/>
      <c r="S12" s="852"/>
      <c r="T12" s="853"/>
      <c r="U12" s="852"/>
      <c r="V12" s="852"/>
      <c r="W12" s="853"/>
    </row>
    <row r="13" spans="1:24" ht="18.75" customHeight="1" thickBot="1">
      <c r="A13" s="173"/>
      <c r="B13" s="108"/>
      <c r="C13" s="1424" t="s">
        <v>445</v>
      </c>
      <c r="D13" s="847" t="s">
        <v>443</v>
      </c>
      <c r="E13" s="894">
        <v>0.19189999999999999</v>
      </c>
      <c r="F13" s="894">
        <v>0.1875</v>
      </c>
      <c r="G13" s="894">
        <v>0.1857</v>
      </c>
      <c r="H13" s="894">
        <v>0.1857</v>
      </c>
      <c r="I13" s="1098">
        <v>0.1852</v>
      </c>
      <c r="J13" s="1226">
        <v>0.18110000000000001</v>
      </c>
      <c r="K13" s="1171">
        <v>0.18099999999999999</v>
      </c>
      <c r="L13" s="848"/>
      <c r="M13" s="852"/>
      <c r="N13" s="853"/>
      <c r="O13" s="852"/>
      <c r="P13" s="852"/>
      <c r="Q13" s="853"/>
      <c r="R13" s="852"/>
      <c r="S13" s="852"/>
      <c r="T13" s="853"/>
      <c r="U13" s="852"/>
      <c r="V13" s="852"/>
      <c r="W13" s="853"/>
    </row>
    <row r="14" spans="1:24" ht="18.75" customHeight="1">
      <c r="A14" s="173"/>
      <c r="B14" s="108"/>
      <c r="C14" s="1425"/>
      <c r="D14" s="866" t="s">
        <v>459</v>
      </c>
      <c r="E14" s="897">
        <v>1122.5</v>
      </c>
      <c r="F14" s="897">
        <v>297.7</v>
      </c>
      <c r="G14" s="897">
        <v>600.70000000000005</v>
      </c>
      <c r="H14" s="897">
        <v>921</v>
      </c>
      <c r="I14" s="1101">
        <v>1248.5999999999999</v>
      </c>
      <c r="J14" s="1229">
        <v>327.10000000000002</v>
      </c>
      <c r="K14" s="1174">
        <v>669.5</v>
      </c>
      <c r="L14" s="851"/>
      <c r="M14" s="852"/>
      <c r="N14" s="853"/>
      <c r="O14" s="852"/>
      <c r="P14" s="852"/>
      <c r="Q14" s="853"/>
      <c r="R14" s="852"/>
      <c r="S14" s="852"/>
      <c r="T14" s="853"/>
      <c r="U14" s="852"/>
      <c r="V14" s="852"/>
      <c r="W14" s="853"/>
    </row>
    <row r="15" spans="1:24" ht="18.75" customHeight="1" thickBot="1">
      <c r="A15" s="173"/>
      <c r="B15" s="108"/>
      <c r="C15" s="1426"/>
      <c r="D15" s="867" t="s">
        <v>460</v>
      </c>
      <c r="E15" s="898">
        <v>5850.1</v>
      </c>
      <c r="F15" s="898">
        <v>6386.9</v>
      </c>
      <c r="G15" s="898">
        <v>6504.9</v>
      </c>
      <c r="H15" s="898">
        <v>6625.7</v>
      </c>
      <c r="I15" s="1102">
        <v>6741</v>
      </c>
      <c r="J15" s="1230">
        <v>7323.3</v>
      </c>
      <c r="K15" s="1175">
        <v>7457.3289999999997</v>
      </c>
      <c r="L15" s="251"/>
      <c r="M15" s="852"/>
      <c r="N15" s="853"/>
      <c r="O15" s="852"/>
      <c r="P15" s="852"/>
      <c r="Q15" s="853"/>
      <c r="R15" s="852"/>
      <c r="S15" s="852"/>
      <c r="T15" s="853"/>
      <c r="U15" s="852"/>
      <c r="V15" s="852"/>
      <c r="W15" s="853"/>
    </row>
    <row r="16" spans="1:24" ht="9.75" customHeight="1">
      <c r="A16" s="173"/>
      <c r="B16" s="108"/>
      <c r="C16" s="489"/>
      <c r="D16" s="854"/>
      <c r="E16" s="855"/>
      <c r="F16" s="855"/>
      <c r="G16" s="855"/>
      <c r="H16" s="855"/>
      <c r="I16" s="855"/>
      <c r="J16" s="855"/>
      <c r="K16" s="855"/>
      <c r="L16" s="854"/>
      <c r="M16" s="854"/>
      <c r="N16" s="855"/>
      <c r="O16" s="854"/>
      <c r="P16" s="854"/>
      <c r="Q16" s="855"/>
      <c r="R16" s="854"/>
      <c r="S16" s="854"/>
      <c r="T16" s="855"/>
      <c r="U16" s="854"/>
      <c r="V16" s="854"/>
      <c r="W16" s="855"/>
    </row>
    <row r="17" spans="1:23" ht="9.75" customHeight="1">
      <c r="A17" s="173"/>
      <c r="B17" s="108"/>
      <c r="C17" s="279"/>
      <c r="D17" s="854"/>
      <c r="E17" s="855"/>
      <c r="F17" s="855"/>
      <c r="G17" s="855"/>
      <c r="H17" s="855"/>
      <c r="I17" s="855"/>
      <c r="J17" s="855"/>
      <c r="K17" s="855"/>
      <c r="L17" s="854"/>
      <c r="M17" s="854"/>
      <c r="N17" s="855"/>
      <c r="O17" s="854"/>
      <c r="P17" s="854"/>
      <c r="Q17" s="855"/>
      <c r="R17" s="854"/>
      <c r="S17" s="854"/>
      <c r="T17" s="855"/>
      <c r="U17" s="854"/>
      <c r="V17" s="854"/>
      <c r="W17" s="855"/>
    </row>
    <row r="18" spans="1:23" ht="9.75" customHeight="1">
      <c r="A18" s="173"/>
      <c r="B18" s="108"/>
      <c r="C18" s="279"/>
      <c r="D18" s="854"/>
      <c r="E18" s="855"/>
      <c r="F18" s="855"/>
      <c r="G18" s="855"/>
      <c r="H18" s="855"/>
      <c r="I18" s="855"/>
      <c r="J18" s="855"/>
      <c r="K18" s="855"/>
      <c r="L18" s="854"/>
      <c r="M18" s="854"/>
      <c r="N18" s="855"/>
      <c r="O18" s="854"/>
      <c r="P18" s="854"/>
      <c r="Q18" s="855"/>
      <c r="R18" s="854"/>
      <c r="S18" s="854"/>
      <c r="T18" s="855"/>
      <c r="U18" s="854"/>
      <c r="V18" s="854"/>
      <c r="W18" s="855"/>
    </row>
    <row r="19" spans="1:23" ht="15.95" customHeight="1">
      <c r="A19" s="173"/>
      <c r="B19" s="108"/>
      <c r="C19" s="169" t="s">
        <v>446</v>
      </c>
      <c r="D19" s="856"/>
      <c r="E19" s="853"/>
      <c r="F19" s="853"/>
      <c r="G19" s="853"/>
      <c r="H19" s="853"/>
      <c r="I19" s="853"/>
      <c r="J19" s="853"/>
      <c r="K19" s="853"/>
      <c r="L19" s="856"/>
      <c r="M19" s="856"/>
      <c r="N19" s="853"/>
      <c r="O19" s="856"/>
      <c r="P19" s="856"/>
      <c r="Q19" s="853"/>
      <c r="R19" s="856"/>
      <c r="S19" s="856"/>
      <c r="T19" s="853"/>
      <c r="U19" s="856"/>
      <c r="V19" s="856"/>
      <c r="W19" s="853"/>
    </row>
    <row r="20" spans="1:23" ht="15.95" customHeight="1">
      <c r="A20" s="173"/>
      <c r="B20" s="108"/>
      <c r="C20" s="279"/>
      <c r="D20" s="856"/>
      <c r="E20" s="853"/>
      <c r="F20" s="853"/>
      <c r="G20" s="853"/>
      <c r="H20" s="853"/>
      <c r="I20" s="853"/>
      <c r="J20" s="853"/>
      <c r="K20" s="853"/>
      <c r="L20" s="856"/>
      <c r="M20" s="856"/>
      <c r="N20" s="853"/>
      <c r="O20" s="856"/>
      <c r="P20" s="856"/>
      <c r="Q20" s="853"/>
      <c r="R20" s="856"/>
      <c r="S20" s="856"/>
      <c r="T20" s="853"/>
      <c r="U20" s="856"/>
      <c r="V20" s="856"/>
      <c r="W20" s="853"/>
    </row>
    <row r="21" spans="1:23" ht="18.75" customHeight="1">
      <c r="A21" s="173"/>
      <c r="B21" s="108"/>
      <c r="C21" s="144"/>
      <c r="D21" s="144" t="s">
        <v>447</v>
      </c>
      <c r="E21" s="1219" t="s">
        <v>470</v>
      </c>
      <c r="F21" s="1219" t="s">
        <v>471</v>
      </c>
      <c r="G21" s="1219" t="s">
        <v>487</v>
      </c>
      <c r="H21" s="1219" t="s">
        <v>490</v>
      </c>
      <c r="I21" s="1219" t="s">
        <v>493</v>
      </c>
      <c r="J21" s="1219" t="s">
        <v>498</v>
      </c>
      <c r="K21" s="1219" t="s">
        <v>502</v>
      </c>
      <c r="L21" s="145"/>
      <c r="M21" s="856"/>
      <c r="N21" s="853"/>
      <c r="O21" s="856"/>
      <c r="P21" s="856"/>
      <c r="Q21" s="853"/>
      <c r="R21" s="856"/>
      <c r="S21" s="856"/>
      <c r="T21" s="853"/>
      <c r="U21" s="856"/>
      <c r="V21" s="856"/>
      <c r="W21" s="853"/>
    </row>
    <row r="22" spans="1:23" ht="18.75" customHeight="1" thickBot="1">
      <c r="A22" s="173"/>
      <c r="B22" s="108"/>
      <c r="C22" s="1427" t="s">
        <v>448</v>
      </c>
      <c r="D22" s="847" t="s">
        <v>449</v>
      </c>
      <c r="E22" s="894">
        <v>1.8499999999999999E-2</v>
      </c>
      <c r="F22" s="894">
        <v>1.8700000000000001E-2</v>
      </c>
      <c r="G22" s="894">
        <v>1.8499999999999999E-2</v>
      </c>
      <c r="H22" s="894">
        <v>1.8700000000000001E-2</v>
      </c>
      <c r="I22" s="1098">
        <v>1.83E-2</v>
      </c>
      <c r="J22" s="1226">
        <v>1.9099999999999999E-2</v>
      </c>
      <c r="K22" s="1171">
        <v>1.9300000000000001E-2</v>
      </c>
      <c r="L22" s="84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</row>
    <row r="23" spans="1:23" ht="18.75" customHeight="1">
      <c r="A23" s="173"/>
      <c r="B23" s="108"/>
      <c r="C23" s="1425"/>
      <c r="D23" s="866" t="s">
        <v>457</v>
      </c>
      <c r="E23" s="895">
        <v>1168.9000000000001</v>
      </c>
      <c r="F23" s="895">
        <v>1181.7</v>
      </c>
      <c r="G23" s="895">
        <v>1187.8</v>
      </c>
      <c r="H23" s="895">
        <v>1210.7</v>
      </c>
      <c r="I23" s="1099">
        <v>1207.4000000000001</v>
      </c>
      <c r="J23" s="1227">
        <v>1219.4000000000001</v>
      </c>
      <c r="K23" s="1172">
        <v>1257.2</v>
      </c>
      <c r="L23" s="849"/>
      <c r="M23" s="861"/>
      <c r="N23" s="861"/>
      <c r="O23" s="861"/>
      <c r="P23" s="861"/>
      <c r="Q23" s="861"/>
      <c r="R23" s="861"/>
      <c r="S23" s="861"/>
      <c r="T23" s="861"/>
      <c r="U23" s="861"/>
      <c r="V23" s="861"/>
      <c r="W23" s="861"/>
    </row>
    <row r="24" spans="1:23" ht="18.75" customHeight="1" thickBot="1">
      <c r="A24" s="173"/>
      <c r="B24" s="108"/>
      <c r="C24" s="1426"/>
      <c r="D24" s="867" t="s">
        <v>458</v>
      </c>
      <c r="E24" s="896">
        <v>250515.5</v>
      </c>
      <c r="F24" s="896">
        <v>253829.1</v>
      </c>
      <c r="G24" s="896">
        <v>257893.9</v>
      </c>
      <c r="H24" s="896">
        <v>258238.7</v>
      </c>
      <c r="I24" s="1100">
        <v>263594.8</v>
      </c>
      <c r="J24" s="1228">
        <v>259310.4</v>
      </c>
      <c r="K24" s="1173">
        <v>261009.4</v>
      </c>
      <c r="L24" s="850"/>
      <c r="M24" s="864"/>
      <c r="N24" s="864"/>
      <c r="O24" s="1423"/>
      <c r="P24" s="1423"/>
      <c r="Q24" s="1423"/>
      <c r="R24" s="1423"/>
      <c r="S24" s="1423"/>
      <c r="T24" s="1423"/>
      <c r="U24" s="1423"/>
      <c r="V24" s="1423"/>
      <c r="W24" s="1423"/>
    </row>
    <row r="25" spans="1:23" ht="18.75" customHeight="1" thickBot="1">
      <c r="A25" s="173"/>
      <c r="B25" s="108"/>
      <c r="C25" s="1424" t="s">
        <v>450</v>
      </c>
      <c r="D25" s="847" t="s">
        <v>449</v>
      </c>
      <c r="E25" s="894">
        <v>1.4E-2</v>
      </c>
      <c r="F25" s="894">
        <v>1.44E-2</v>
      </c>
      <c r="G25" s="894">
        <v>1.4200000000000001E-2</v>
      </c>
      <c r="H25" s="894">
        <v>1.41E-2</v>
      </c>
      <c r="I25" s="1098">
        <v>1.37E-2</v>
      </c>
      <c r="J25" s="1226">
        <v>1.44E-2</v>
      </c>
      <c r="K25" s="1171">
        <v>1.4478561473898499E-2</v>
      </c>
      <c r="L25" s="848"/>
      <c r="M25" s="860"/>
      <c r="N25" s="860"/>
      <c r="O25" s="860"/>
      <c r="P25" s="860"/>
      <c r="Q25" s="860"/>
      <c r="R25" s="860"/>
      <c r="S25" s="860"/>
      <c r="T25" s="860"/>
      <c r="U25" s="860"/>
      <c r="V25" s="860"/>
      <c r="W25" s="860"/>
    </row>
    <row r="26" spans="1:23" ht="18.75" customHeight="1">
      <c r="A26" s="173"/>
      <c r="B26" s="108"/>
      <c r="C26" s="1425"/>
      <c r="D26" s="866" t="s">
        <v>459</v>
      </c>
      <c r="E26" s="897">
        <v>861.7</v>
      </c>
      <c r="F26" s="897">
        <v>884</v>
      </c>
      <c r="G26" s="897">
        <v>884.8</v>
      </c>
      <c r="H26" s="897">
        <v>890.5</v>
      </c>
      <c r="I26" s="1101">
        <v>879.8</v>
      </c>
      <c r="J26" s="1229">
        <v>892.3</v>
      </c>
      <c r="K26" s="1174">
        <v>914.77426448300002</v>
      </c>
      <c r="L26" s="851"/>
      <c r="M26" s="852"/>
      <c r="N26" s="853"/>
      <c r="O26" s="852"/>
      <c r="P26" s="852"/>
      <c r="Q26" s="853"/>
      <c r="R26" s="852"/>
      <c r="S26" s="852"/>
      <c r="T26" s="853"/>
      <c r="U26" s="852"/>
      <c r="V26" s="852"/>
      <c r="W26" s="853"/>
    </row>
    <row r="27" spans="1:23" ht="18.75" customHeight="1" thickBot="1">
      <c r="A27" s="173"/>
      <c r="B27" s="108"/>
      <c r="C27" s="1426"/>
      <c r="D27" s="867" t="s">
        <v>460</v>
      </c>
      <c r="E27" s="896">
        <v>244193.6</v>
      </c>
      <c r="F27" s="896">
        <v>247442.2</v>
      </c>
      <c r="G27" s="896">
        <v>251271.1</v>
      </c>
      <c r="H27" s="896">
        <v>251373.8</v>
      </c>
      <c r="I27" s="1100">
        <v>256510.6</v>
      </c>
      <c r="J27" s="1228">
        <v>251987.20000000001</v>
      </c>
      <c r="K27" s="1173">
        <v>253419.5</v>
      </c>
      <c r="L27" s="850"/>
      <c r="M27" s="852"/>
      <c r="N27" s="853"/>
      <c r="O27" s="852"/>
      <c r="P27" s="852"/>
      <c r="Q27" s="853"/>
      <c r="R27" s="852"/>
      <c r="S27" s="852"/>
      <c r="T27" s="853"/>
      <c r="U27" s="852"/>
      <c r="V27" s="852"/>
      <c r="W27" s="853"/>
    </row>
    <row r="28" spans="1:23" ht="18.75" customHeight="1" thickBot="1">
      <c r="A28" s="173"/>
      <c r="B28" s="108"/>
      <c r="C28" s="1424" t="s">
        <v>451</v>
      </c>
      <c r="D28" s="847" t="s">
        <v>449</v>
      </c>
      <c r="E28" s="894">
        <v>0.1928</v>
      </c>
      <c r="F28" s="894">
        <v>0.1875</v>
      </c>
      <c r="G28" s="894">
        <v>0.184</v>
      </c>
      <c r="H28" s="894">
        <v>0.18559999999999999</v>
      </c>
      <c r="I28" s="1098">
        <v>0.185</v>
      </c>
      <c r="J28" s="1226">
        <v>0.18110000000000001</v>
      </c>
      <c r="K28" s="1171">
        <v>0.18090000000000001</v>
      </c>
      <c r="L28" s="848"/>
      <c r="M28" s="852"/>
      <c r="N28" s="853"/>
      <c r="O28" s="852"/>
      <c r="P28" s="852"/>
      <c r="Q28" s="853"/>
      <c r="R28" s="852"/>
      <c r="S28" s="852"/>
      <c r="T28" s="853"/>
      <c r="U28" s="852"/>
      <c r="V28" s="852"/>
      <c r="W28" s="853"/>
    </row>
    <row r="29" spans="1:23" ht="18.75" customHeight="1">
      <c r="A29" s="173"/>
      <c r="B29" s="108"/>
      <c r="C29" s="1425"/>
      <c r="D29" s="866" t="s">
        <v>459</v>
      </c>
      <c r="E29" s="897">
        <v>307.2</v>
      </c>
      <c r="F29" s="897">
        <v>297.7</v>
      </c>
      <c r="G29" s="897">
        <v>303</v>
      </c>
      <c r="H29" s="897">
        <v>320.3</v>
      </c>
      <c r="I29" s="1101">
        <v>327</v>
      </c>
      <c r="J29" s="1229">
        <v>327.10000000000002</v>
      </c>
      <c r="K29" s="1174">
        <v>342.4</v>
      </c>
      <c r="L29" s="851"/>
      <c r="M29" s="852"/>
      <c r="N29" s="853"/>
      <c r="O29" s="852"/>
      <c r="P29" s="852"/>
      <c r="Q29" s="853"/>
      <c r="R29" s="852"/>
      <c r="S29" s="852"/>
      <c r="T29" s="853"/>
      <c r="U29" s="852"/>
      <c r="V29" s="852"/>
      <c r="W29" s="853"/>
    </row>
    <row r="30" spans="1:23" ht="18.75" customHeight="1" thickBot="1">
      <c r="A30" s="173"/>
      <c r="B30" s="108"/>
      <c r="C30" s="1426"/>
      <c r="D30" s="867" t="s">
        <v>460</v>
      </c>
      <c r="E30" s="898">
        <v>6322</v>
      </c>
      <c r="F30" s="898">
        <v>6386.9</v>
      </c>
      <c r="G30" s="898">
        <v>6622.8</v>
      </c>
      <c r="H30" s="898">
        <v>6864.9</v>
      </c>
      <c r="I30" s="1102">
        <v>7084.2</v>
      </c>
      <c r="J30" s="1230">
        <v>7323.3</v>
      </c>
      <c r="K30" s="1175">
        <v>7589.9</v>
      </c>
      <c r="L30" s="251"/>
      <c r="M30" s="852"/>
      <c r="N30" s="853"/>
      <c r="O30" s="852"/>
      <c r="P30" s="852"/>
      <c r="Q30" s="853"/>
      <c r="R30" s="852"/>
      <c r="S30" s="852"/>
      <c r="T30" s="853"/>
      <c r="U30" s="852"/>
      <c r="V30" s="852"/>
      <c r="W30" s="853"/>
    </row>
    <row r="31" spans="1:23" ht="15.95" customHeight="1">
      <c r="A31" s="173"/>
      <c r="B31" s="108"/>
      <c r="C31" s="489"/>
      <c r="D31" s="852"/>
      <c r="E31" s="853"/>
      <c r="F31" s="853"/>
      <c r="G31" s="853"/>
      <c r="H31" s="853"/>
      <c r="I31" s="853"/>
      <c r="J31" s="853"/>
      <c r="K31" s="853"/>
      <c r="L31" s="852"/>
      <c r="M31" s="852"/>
      <c r="N31" s="853"/>
      <c r="O31" s="852"/>
      <c r="P31" s="852"/>
      <c r="Q31" s="853"/>
      <c r="R31" s="852"/>
      <c r="S31" s="852"/>
      <c r="T31" s="853"/>
      <c r="U31" s="852"/>
      <c r="V31" s="852"/>
      <c r="W31" s="853"/>
    </row>
    <row r="32" spans="1:23" ht="15.95" customHeight="1">
      <c r="A32" s="173"/>
      <c r="B32" s="108"/>
      <c r="C32" s="489"/>
      <c r="D32" s="852"/>
      <c r="E32" s="853"/>
      <c r="F32" s="853"/>
      <c r="G32" s="853"/>
      <c r="H32" s="853"/>
      <c r="I32" s="853"/>
      <c r="J32" s="853"/>
      <c r="K32" s="853"/>
      <c r="L32" s="852"/>
      <c r="M32" s="852"/>
      <c r="N32" s="853"/>
      <c r="O32" s="852"/>
      <c r="P32" s="852"/>
      <c r="Q32" s="853"/>
      <c r="R32" s="852"/>
      <c r="S32" s="852"/>
      <c r="T32" s="853"/>
      <c r="U32" s="852"/>
      <c r="V32" s="852"/>
      <c r="W32" s="853"/>
    </row>
    <row r="33" spans="1:23" ht="15.95" customHeight="1">
      <c r="A33" s="173"/>
      <c r="B33" s="108"/>
      <c r="C33" s="489"/>
      <c r="D33" s="852"/>
      <c r="E33" s="853"/>
      <c r="F33" s="853"/>
      <c r="G33" s="853"/>
      <c r="H33" s="853"/>
      <c r="I33" s="853"/>
      <c r="J33" s="853"/>
      <c r="K33" s="853"/>
      <c r="L33" s="852"/>
      <c r="M33" s="852"/>
      <c r="N33" s="853"/>
      <c r="O33" s="852"/>
      <c r="P33" s="852"/>
      <c r="Q33" s="853"/>
      <c r="R33" s="852"/>
      <c r="S33" s="852"/>
      <c r="T33" s="853"/>
      <c r="U33" s="852"/>
      <c r="V33" s="852"/>
      <c r="W33" s="853"/>
    </row>
    <row r="34" spans="1:23" ht="15.95" customHeight="1">
      <c r="A34" s="173"/>
      <c r="B34" s="108"/>
      <c r="C34" s="489"/>
      <c r="D34" s="852"/>
      <c r="E34" s="853"/>
      <c r="F34" s="853"/>
      <c r="G34" s="853"/>
      <c r="H34" s="853"/>
      <c r="I34" s="853"/>
      <c r="J34" s="853"/>
      <c r="K34" s="853"/>
      <c r="L34" s="852"/>
      <c r="M34" s="852"/>
      <c r="N34" s="853"/>
      <c r="O34" s="852"/>
      <c r="P34" s="852"/>
      <c r="Q34" s="853"/>
      <c r="R34" s="852"/>
      <c r="S34" s="852"/>
      <c r="T34" s="853"/>
      <c r="U34" s="852"/>
      <c r="V34" s="852"/>
      <c r="W34" s="853"/>
    </row>
    <row r="35" spans="1:23" ht="15.95" customHeight="1">
      <c r="A35" s="173"/>
      <c r="B35" s="108"/>
      <c r="C35" s="489"/>
      <c r="D35" s="852"/>
      <c r="E35" s="853"/>
      <c r="F35" s="853"/>
      <c r="G35" s="853"/>
      <c r="H35" s="853"/>
      <c r="I35" s="1022"/>
      <c r="J35" s="853"/>
      <c r="K35" s="853"/>
      <c r="L35" s="852"/>
      <c r="M35" s="852"/>
      <c r="N35" s="853"/>
      <c r="O35" s="852"/>
      <c r="P35" s="852"/>
      <c r="Q35" s="853"/>
      <c r="R35" s="852"/>
      <c r="S35" s="852"/>
      <c r="T35" s="853"/>
      <c r="U35" s="852"/>
      <c r="V35" s="852"/>
      <c r="W35" s="853"/>
    </row>
    <row r="36" spans="1:23" ht="15.95" customHeight="1">
      <c r="A36" s="173"/>
      <c r="B36" s="108"/>
      <c r="C36" s="489"/>
      <c r="D36" s="854"/>
      <c r="E36" s="855"/>
      <c r="F36" s="855"/>
      <c r="G36" s="855"/>
      <c r="H36" s="855"/>
      <c r="I36" s="855"/>
      <c r="J36" s="855"/>
      <c r="K36" s="855"/>
      <c r="L36" s="854"/>
      <c r="M36" s="854"/>
      <c r="N36" s="855"/>
      <c r="O36" s="854"/>
      <c r="P36" s="854"/>
      <c r="Q36" s="855"/>
      <c r="R36" s="854"/>
      <c r="S36" s="854"/>
      <c r="T36" s="855"/>
      <c r="U36" s="854"/>
      <c r="V36" s="854"/>
      <c r="W36" s="855"/>
    </row>
    <row r="37" spans="1:23" ht="15.95" customHeight="1">
      <c r="A37" s="173"/>
      <c r="B37" s="108"/>
      <c r="C37" s="279"/>
      <c r="D37" s="854"/>
      <c r="E37" s="855"/>
      <c r="F37" s="855"/>
      <c r="G37" s="855"/>
      <c r="H37" s="855"/>
      <c r="I37" s="855"/>
      <c r="J37" s="855"/>
      <c r="K37" s="855"/>
      <c r="L37" s="854"/>
      <c r="M37" s="854"/>
      <c r="N37" s="855"/>
      <c r="O37" s="854"/>
      <c r="P37" s="854"/>
      <c r="Q37" s="855"/>
      <c r="R37" s="854"/>
      <c r="S37" s="854"/>
      <c r="T37" s="855"/>
      <c r="U37" s="854"/>
      <c r="V37" s="854"/>
      <c r="W37" s="855"/>
    </row>
    <row r="38" spans="1:23" ht="15.95" customHeight="1">
      <c r="A38" s="173"/>
      <c r="B38" s="108"/>
      <c r="C38" s="279"/>
      <c r="D38" s="854"/>
      <c r="E38" s="855"/>
      <c r="F38" s="855"/>
      <c r="G38" s="855"/>
      <c r="H38" s="855"/>
      <c r="I38" s="855"/>
      <c r="J38" s="855"/>
      <c r="K38" s="855"/>
      <c r="L38" s="854"/>
      <c r="M38" s="854"/>
      <c r="N38" s="855"/>
      <c r="O38" s="854"/>
      <c r="P38" s="854"/>
      <c r="Q38" s="855"/>
      <c r="R38" s="854"/>
      <c r="S38" s="854"/>
      <c r="T38" s="855"/>
      <c r="U38" s="854"/>
      <c r="V38" s="854"/>
      <c r="W38" s="855"/>
    </row>
    <row r="39" spans="1:23" ht="15.95" customHeight="1">
      <c r="A39" s="173"/>
      <c r="B39" s="108"/>
      <c r="C39" s="279"/>
      <c r="D39" s="856"/>
      <c r="E39" s="853"/>
      <c r="F39" s="853"/>
      <c r="G39" s="853"/>
      <c r="H39" s="853"/>
      <c r="I39" s="853"/>
      <c r="J39" s="853"/>
      <c r="K39" s="853"/>
      <c r="L39" s="856"/>
      <c r="M39" s="856"/>
      <c r="N39" s="853"/>
      <c r="O39" s="856"/>
      <c r="P39" s="856"/>
      <c r="Q39" s="853"/>
      <c r="R39" s="856"/>
      <c r="S39" s="856"/>
      <c r="T39" s="853"/>
      <c r="U39" s="856"/>
      <c r="V39" s="856"/>
      <c r="W39" s="853"/>
    </row>
    <row r="40" spans="1:23" ht="15.95" customHeight="1">
      <c r="A40" s="173"/>
      <c r="B40" s="108"/>
      <c r="C40" s="279"/>
      <c r="D40" s="856"/>
      <c r="E40" s="853"/>
      <c r="F40" s="853"/>
      <c r="G40" s="853"/>
      <c r="H40" s="853"/>
      <c r="I40" s="853"/>
      <c r="J40" s="853"/>
      <c r="K40" s="853"/>
      <c r="L40" s="856"/>
      <c r="M40" s="856"/>
      <c r="N40" s="853"/>
      <c r="O40" s="856"/>
      <c r="P40" s="856"/>
      <c r="Q40" s="853"/>
      <c r="R40" s="856"/>
      <c r="S40" s="856"/>
      <c r="T40" s="853"/>
      <c r="U40" s="856"/>
      <c r="V40" s="856"/>
      <c r="W40" s="853"/>
    </row>
    <row r="41" spans="1:23" ht="15.95" customHeight="1">
      <c r="A41" s="173"/>
      <c r="B41" s="108"/>
      <c r="C41" s="489"/>
      <c r="D41" s="856"/>
      <c r="E41" s="857"/>
      <c r="F41" s="857"/>
      <c r="G41" s="857"/>
      <c r="H41" s="857"/>
      <c r="I41" s="857"/>
      <c r="J41" s="857"/>
      <c r="K41" s="857"/>
      <c r="L41" s="856"/>
      <c r="M41" s="856"/>
      <c r="N41" s="857"/>
      <c r="O41" s="856"/>
      <c r="P41" s="856"/>
      <c r="Q41" s="857"/>
      <c r="R41" s="856"/>
      <c r="S41" s="856"/>
      <c r="T41" s="857"/>
      <c r="U41" s="856"/>
      <c r="V41" s="856"/>
      <c r="W41" s="857"/>
    </row>
    <row r="42" spans="1:23" ht="9" customHeight="1">
      <c r="A42" s="173"/>
      <c r="B42" s="108"/>
      <c r="C42" s="489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</row>
    <row r="43" spans="1:23">
      <c r="A43" s="188"/>
      <c r="B43" s="189"/>
      <c r="C43" s="279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862"/>
      <c r="U43" s="862"/>
      <c r="V43" s="862"/>
      <c r="W43" s="862"/>
    </row>
    <row r="44" spans="1:23">
      <c r="A44" s="188"/>
      <c r="B44" s="189"/>
      <c r="C44" s="496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</row>
    <row r="45" spans="1:23">
      <c r="A45" s="188"/>
      <c r="B45" s="189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</row>
    <row r="46" spans="1:23">
      <c r="A46" s="189"/>
      <c r="B46" s="189"/>
      <c r="C46" s="199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</row>
    <row r="47" spans="1:23">
      <c r="A47" s="189"/>
      <c r="B47" s="189"/>
      <c r="C47" s="199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</row>
    <row r="48" spans="1:23">
      <c r="A48" s="189"/>
      <c r="B48" s="189"/>
      <c r="C48" s="442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</row>
    <row r="49" spans="1:23">
      <c r="A49" s="189"/>
      <c r="B49" s="189"/>
      <c r="C49" s="199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</row>
    <row r="50" spans="1:23">
      <c r="A50" s="189"/>
      <c r="B50" s="189"/>
      <c r="C50" s="199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</row>
    <row r="51" spans="1:23">
      <c r="A51" s="189"/>
      <c r="B51" s="189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</row>
    <row r="52" spans="1:23">
      <c r="A52" s="189"/>
      <c r="B52" s="189"/>
      <c r="C52" s="442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</row>
    <row r="53" spans="1:23">
      <c r="A53" s="189"/>
      <c r="B53" s="189"/>
      <c r="C53" s="199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</row>
    <row r="54" spans="1:23">
      <c r="A54" s="189"/>
      <c r="B54" s="189"/>
      <c r="C54" s="199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</row>
    <row r="55" spans="1:23">
      <c r="A55" s="189"/>
      <c r="B55" s="189"/>
      <c r="C55" s="199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</row>
    <row r="56" spans="1:23">
      <c r="A56" s="189"/>
      <c r="B56" s="189"/>
      <c r="C56" s="201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</row>
    <row r="57" spans="1:23">
      <c r="A57" s="189"/>
      <c r="B57" s="189"/>
      <c r="C57" s="443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</row>
    <row r="58" spans="1:23">
      <c r="A58" s="189"/>
      <c r="B58" s="189"/>
      <c r="C58" s="443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</row>
    <row r="59" spans="1:23">
      <c r="A59" s="27"/>
      <c r="B59" s="27"/>
      <c r="C59" s="443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pans="1:2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1:23" ht="19.5">
      <c r="A61" s="27"/>
      <c r="B61" s="27"/>
      <c r="C61" s="204"/>
      <c r="D61" s="204"/>
      <c r="E61" s="204"/>
      <c r="F61" s="204"/>
      <c r="G61" s="204"/>
      <c r="H61" s="204"/>
      <c r="I61" s="204"/>
      <c r="J61" s="921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</row>
    <row r="62" spans="1:2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</row>
    <row r="63" spans="1:2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</row>
    <row r="64" spans="1:23" ht="18">
      <c r="A64" s="27"/>
      <c r="B64" s="27"/>
      <c r="C64" s="205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</row>
    <row r="65" spans="1:23" ht="15.75">
      <c r="A65" s="27"/>
      <c r="B65" s="27"/>
      <c r="C65" s="444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</row>
    <row r="66" spans="1:23">
      <c r="A66" s="189"/>
      <c r="B66" s="189"/>
      <c r="C66" s="209"/>
      <c r="D66" s="440"/>
      <c r="E66" s="440"/>
      <c r="F66" s="440"/>
      <c r="G66" s="440"/>
      <c r="H66" s="440"/>
      <c r="I66" s="440"/>
      <c r="J66" s="440"/>
      <c r="K66" s="440"/>
      <c r="L66" s="440"/>
      <c r="M66" s="440"/>
      <c r="N66" s="440"/>
      <c r="O66" s="440"/>
      <c r="P66" s="440"/>
      <c r="Q66" s="440"/>
      <c r="R66" s="440"/>
      <c r="S66" s="440"/>
      <c r="T66" s="440"/>
      <c r="U66" s="440"/>
      <c r="V66" s="440"/>
      <c r="W66" s="440"/>
    </row>
    <row r="67" spans="1:23">
      <c r="A67" s="189"/>
      <c r="B67" s="189"/>
      <c r="C67" s="441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</row>
    <row r="68" spans="1:23">
      <c r="A68" s="189"/>
      <c r="B68" s="189"/>
      <c r="C68" s="199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</row>
    <row r="69" spans="1:23">
      <c r="A69" s="189"/>
      <c r="B69" s="189"/>
      <c r="C69" s="199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</row>
    <row r="70" spans="1:23">
      <c r="A70" s="189"/>
      <c r="B70" s="189"/>
      <c r="C70" s="199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</row>
    <row r="71" spans="1:23">
      <c r="A71" s="189"/>
      <c r="B71" s="189"/>
      <c r="C71" s="199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</row>
    <row r="72" spans="1:23">
      <c r="A72" s="189"/>
      <c r="B72" s="189"/>
      <c r="C72" s="199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</row>
    <row r="73" spans="1:23">
      <c r="A73" s="189"/>
      <c r="B73" s="189"/>
      <c r="C73" s="442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</row>
    <row r="74" spans="1:23">
      <c r="A74" s="189"/>
      <c r="B74" s="189"/>
      <c r="C74" s="199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</row>
    <row r="75" spans="1:23">
      <c r="A75" s="189"/>
      <c r="B75" s="189"/>
      <c r="C75" s="199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</row>
    <row r="76" spans="1:23">
      <c r="A76" s="189"/>
      <c r="B76" s="189"/>
      <c r="C76" s="199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</row>
    <row r="77" spans="1:23">
      <c r="A77" s="189"/>
      <c r="B77" s="189"/>
      <c r="C77" s="442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</row>
    <row r="78" spans="1:23">
      <c r="A78" s="189"/>
      <c r="B78" s="189"/>
      <c r="C78" s="199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</row>
    <row r="79" spans="1:23">
      <c r="A79" s="189"/>
      <c r="B79" s="189"/>
      <c r="C79" s="199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</row>
    <row r="80" spans="1:23">
      <c r="A80" s="189"/>
      <c r="B80" s="189"/>
      <c r="C80" s="199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</row>
    <row r="81" spans="1:23">
      <c r="A81" s="189"/>
      <c r="B81" s="189"/>
      <c r="C81" s="199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</row>
    <row r="82" spans="1:23">
      <c r="A82" s="189"/>
      <c r="B82" s="189"/>
      <c r="C82" s="199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</row>
    <row r="83" spans="1:23">
      <c r="A83" s="189"/>
      <c r="B83" s="189"/>
      <c r="C83" s="201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</row>
    <row r="84" spans="1:23" ht="15.75">
      <c r="A84" s="27"/>
      <c r="B84" s="27"/>
      <c r="C84" s="444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</row>
    <row r="85" spans="1:23">
      <c r="A85" s="189"/>
      <c r="B85" s="189"/>
      <c r="C85" s="209"/>
      <c r="D85" s="440"/>
      <c r="E85" s="440"/>
      <c r="F85" s="440"/>
      <c r="G85" s="440"/>
      <c r="H85" s="440"/>
      <c r="I85" s="440"/>
      <c r="J85" s="440"/>
      <c r="K85" s="440"/>
      <c r="L85" s="440"/>
      <c r="M85" s="440"/>
      <c r="N85" s="440"/>
      <c r="O85" s="440"/>
      <c r="P85" s="440"/>
      <c r="Q85" s="440"/>
      <c r="R85" s="440"/>
      <c r="S85" s="440"/>
      <c r="T85" s="440"/>
      <c r="U85" s="440"/>
      <c r="V85" s="440"/>
      <c r="W85" s="440"/>
    </row>
    <row r="86" spans="1:23">
      <c r="A86" s="189"/>
      <c r="B86" s="189"/>
      <c r="C86" s="441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</row>
    <row r="87" spans="1:23">
      <c r="A87" s="189"/>
      <c r="B87" s="189"/>
      <c r="C87" s="199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</row>
    <row r="88" spans="1:23">
      <c r="A88" s="189"/>
      <c r="B88" s="189"/>
      <c r="C88" s="199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</row>
    <row r="89" spans="1:23">
      <c r="A89" s="189"/>
      <c r="B89" s="189"/>
      <c r="C89" s="199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</row>
    <row r="90" spans="1:23">
      <c r="A90" s="189"/>
      <c r="B90" s="189"/>
      <c r="C90" s="199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</row>
    <row r="91" spans="1:23">
      <c r="A91" s="189"/>
      <c r="B91" s="189"/>
      <c r="C91" s="199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</row>
    <row r="92" spans="1:23">
      <c r="A92" s="189"/>
      <c r="B92" s="189"/>
      <c r="C92" s="442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</row>
    <row r="93" spans="1:23">
      <c r="A93" s="189"/>
      <c r="B93" s="189"/>
      <c r="C93" s="199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</row>
    <row r="94" spans="1:23">
      <c r="A94" s="189"/>
      <c r="B94" s="189"/>
      <c r="C94" s="199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</row>
    <row r="95" spans="1:23">
      <c r="A95" s="189"/>
      <c r="B95" s="189"/>
      <c r="C95" s="199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</row>
    <row r="96" spans="1:23">
      <c r="A96" s="189"/>
      <c r="B96" s="189"/>
      <c r="C96" s="442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</row>
    <row r="97" spans="1:23">
      <c r="A97" s="189"/>
      <c r="B97" s="189"/>
      <c r="C97" s="199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</row>
    <row r="98" spans="1:23">
      <c r="A98" s="189"/>
      <c r="B98" s="189"/>
      <c r="C98" s="199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</row>
    <row r="99" spans="1:23">
      <c r="A99" s="189"/>
      <c r="B99" s="189"/>
      <c r="C99" s="199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</row>
    <row r="100" spans="1:23">
      <c r="A100" s="189"/>
      <c r="B100" s="189"/>
      <c r="C100" s="201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</row>
    <row r="101" spans="1:23">
      <c r="A101" s="189"/>
      <c r="B101" s="189"/>
      <c r="C101" s="443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</row>
    <row r="102" spans="1:23">
      <c r="A102" s="189"/>
      <c r="B102" s="189"/>
      <c r="C102" s="443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</row>
    <row r="103" spans="1:23">
      <c r="A103" s="27"/>
      <c r="B103" s="27"/>
      <c r="C103" s="443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:2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1:2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</sheetData>
  <mergeCells count="14">
    <mergeCell ref="C28:C30"/>
    <mergeCell ref="C7:C9"/>
    <mergeCell ref="C10:C12"/>
    <mergeCell ref="C13:C15"/>
    <mergeCell ref="C22:C24"/>
    <mergeCell ref="C25:C27"/>
    <mergeCell ref="O24:Q24"/>
    <mergeCell ref="R24:T24"/>
    <mergeCell ref="U24:W24"/>
    <mergeCell ref="E4:K4"/>
    <mergeCell ref="L4:N4"/>
    <mergeCell ref="O4:Q4"/>
    <mergeCell ref="R4:T4"/>
    <mergeCell ref="U4:W4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topLeftCell="C1" zoomScale="85" zoomScaleNormal="85" zoomScaleSheetLayoutView="85" workbookViewId="0">
      <selection activeCell="C32" sqref="C32:C33"/>
    </sheetView>
  </sheetViews>
  <sheetFormatPr defaultRowHeight="15"/>
  <cols>
    <col min="1" max="1" width="18.7109375" style="77" customWidth="1"/>
    <col min="2" max="2" width="3.85546875" style="77" customWidth="1"/>
    <col min="3" max="3" width="27.28515625" style="77" customWidth="1"/>
    <col min="4" max="27" width="8.140625" style="77" customWidth="1"/>
    <col min="28" max="16384" width="9.140625" style="77"/>
  </cols>
  <sheetData>
    <row r="1" spans="1:25" ht="30" customHeight="1">
      <c r="A1" s="813"/>
      <c r="B1" s="167"/>
      <c r="C1" s="333" t="s">
        <v>472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167"/>
    </row>
    <row r="2" spans="1:25">
      <c r="A2" s="168"/>
    </row>
    <row r="3" spans="1:25" ht="17.25">
      <c r="A3" s="168"/>
      <c r="C3" s="169" t="s">
        <v>407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</row>
    <row r="4" spans="1:25">
      <c r="A4" s="168"/>
      <c r="C4" s="238"/>
      <c r="D4" s="1428" t="s">
        <v>470</v>
      </c>
      <c r="E4" s="1429"/>
      <c r="F4" s="1430"/>
      <c r="G4" s="1428" t="s">
        <v>471</v>
      </c>
      <c r="H4" s="1429"/>
      <c r="I4" s="1430"/>
      <c r="J4" s="1428" t="s">
        <v>487</v>
      </c>
      <c r="K4" s="1429"/>
      <c r="L4" s="1430"/>
      <c r="M4" s="1428" t="s">
        <v>490</v>
      </c>
      <c r="N4" s="1429"/>
      <c r="O4" s="1430"/>
      <c r="P4" s="1428" t="s">
        <v>493</v>
      </c>
      <c r="Q4" s="1429"/>
      <c r="R4" s="1430"/>
      <c r="S4" s="1428" t="s">
        <v>498</v>
      </c>
      <c r="T4" s="1429"/>
      <c r="U4" s="1430"/>
      <c r="V4" s="1428" t="s">
        <v>540</v>
      </c>
      <c r="W4" s="1429"/>
      <c r="X4" s="1430"/>
    </row>
    <row r="5" spans="1:25" ht="15.75" thickBot="1">
      <c r="A5" s="173"/>
      <c r="B5" s="108"/>
      <c r="C5" s="497" t="s">
        <v>147</v>
      </c>
      <c r="D5" s="696" t="s">
        <v>327</v>
      </c>
      <c r="E5" s="697" t="s">
        <v>328</v>
      </c>
      <c r="F5" s="698" t="s">
        <v>1</v>
      </c>
      <c r="G5" s="696" t="s">
        <v>327</v>
      </c>
      <c r="H5" s="697" t="s">
        <v>328</v>
      </c>
      <c r="I5" s="698" t="s">
        <v>1</v>
      </c>
      <c r="J5" s="696" t="s">
        <v>327</v>
      </c>
      <c r="K5" s="697" t="s">
        <v>328</v>
      </c>
      <c r="L5" s="698" t="s">
        <v>1</v>
      </c>
      <c r="M5" s="696" t="s">
        <v>327</v>
      </c>
      <c r="N5" s="697" t="s">
        <v>328</v>
      </c>
      <c r="O5" s="698" t="s">
        <v>1</v>
      </c>
      <c r="P5" s="696" t="s">
        <v>327</v>
      </c>
      <c r="Q5" s="697" t="s">
        <v>328</v>
      </c>
      <c r="R5" s="698" t="s">
        <v>1</v>
      </c>
      <c r="S5" s="696" t="s">
        <v>327</v>
      </c>
      <c r="T5" s="697" t="s">
        <v>328</v>
      </c>
      <c r="U5" s="698" t="s">
        <v>1</v>
      </c>
      <c r="V5" s="696" t="s">
        <v>327</v>
      </c>
      <c r="W5" s="697" t="s">
        <v>328</v>
      </c>
      <c r="X5" s="698" t="s">
        <v>1</v>
      </c>
    </row>
    <row r="6" spans="1:25" ht="15.95" customHeight="1">
      <c r="A6" s="173"/>
      <c r="B6" s="108"/>
      <c r="C6" s="677" t="s">
        <v>148</v>
      </c>
      <c r="D6" s="756">
        <v>234626.44399999999</v>
      </c>
      <c r="E6" s="757">
        <v>7170.1549999999997</v>
      </c>
      <c r="F6" s="758">
        <f>E6/D6*365/365*100</f>
        <v>3.0559875850993166</v>
      </c>
      <c r="G6" s="756">
        <v>247442.196</v>
      </c>
      <c r="H6" s="757">
        <v>1771.1790000000001</v>
      </c>
      <c r="I6" s="758">
        <f>H6/G6*366/91*100</f>
        <v>2.8789119746532683</v>
      </c>
      <c r="J6" s="756">
        <v>249356.64199999999</v>
      </c>
      <c r="K6" s="757">
        <v>3530.384</v>
      </c>
      <c r="L6" s="758">
        <f>K6/J6*366/182*100</f>
        <v>2.8471523243288739</v>
      </c>
      <c r="M6" s="756">
        <v>250033.943</v>
      </c>
      <c r="N6" s="757">
        <v>5268.2879999999996</v>
      </c>
      <c r="O6" s="758">
        <f>N6/M6*366/274*100</f>
        <v>2.8144987574659419</v>
      </c>
      <c r="P6" s="1154">
        <v>251661.96</v>
      </c>
      <c r="Q6" s="1155">
        <v>6986.9189999999999</v>
      </c>
      <c r="R6" s="1034">
        <f>Q6/P6*365/365*100</f>
        <v>2.7763111278319537</v>
      </c>
      <c r="S6" s="1231">
        <v>251987.264</v>
      </c>
      <c r="T6" s="1232">
        <v>1698.769</v>
      </c>
      <c r="U6" s="1233">
        <f>T6/S6*365/90*100</f>
        <v>2.7340477237593865</v>
      </c>
      <c r="V6" s="1176">
        <v>252707.32850028601</v>
      </c>
      <c r="W6" s="1177">
        <v>3424.1973429</v>
      </c>
      <c r="X6" s="1339">
        <f>W6/V6*365/181*100</f>
        <v>2.7324689706750829</v>
      </c>
    </row>
    <row r="7" spans="1:25" ht="15.95" customHeight="1">
      <c r="A7" s="173"/>
      <c r="B7" s="108"/>
      <c r="C7" s="680" t="s">
        <v>149</v>
      </c>
      <c r="D7" s="756">
        <v>180890.23499999999</v>
      </c>
      <c r="E7" s="757">
        <v>6163.7839999999997</v>
      </c>
      <c r="F7" s="758">
        <f t="shared" ref="F7:F14" si="0">E7/D7*365/365*100</f>
        <v>3.4074719400967108</v>
      </c>
      <c r="G7" s="756">
        <v>192922.139</v>
      </c>
      <c r="H7" s="757">
        <v>1519.2439999999999</v>
      </c>
      <c r="I7" s="758">
        <f t="shared" ref="I7:I14" si="1">H7/G7*366/91*100</f>
        <v>3.1672704904137405</v>
      </c>
      <c r="J7" s="756">
        <v>194224.38800000001</v>
      </c>
      <c r="K7" s="757">
        <v>3032.3969999999999</v>
      </c>
      <c r="L7" s="758">
        <f t="shared" ref="L7:L14" si="2">K7/J7*366/182*100</f>
        <v>3.1397277688711491</v>
      </c>
      <c r="M7" s="756">
        <v>195018.05600000001</v>
      </c>
      <c r="N7" s="757">
        <v>4523.0029999999997</v>
      </c>
      <c r="O7" s="758">
        <f t="shared" ref="O7:O14" si="3">N7/M7*366/274*100</f>
        <v>3.0980082891124625</v>
      </c>
      <c r="P7" s="1154">
        <v>195614.26199999999</v>
      </c>
      <c r="Q7" s="1155">
        <v>5990.4089999999997</v>
      </c>
      <c r="R7" s="1034">
        <f t="shared" ref="R7:R15" si="4">Q7/P7*365/365*100</f>
        <v>3.0623579992342274</v>
      </c>
      <c r="S7" s="1234">
        <v>196942.07999999999</v>
      </c>
      <c r="T7" s="1235">
        <v>1458.3389999999999</v>
      </c>
      <c r="U7" s="1233">
        <f t="shared" ref="U7:U15" si="5">T7/S7*365/90*100</f>
        <v>3.0031036705478757</v>
      </c>
      <c r="V7" s="1178">
        <v>197863.94160465599</v>
      </c>
      <c r="W7" s="1179">
        <v>2941.9541300639999</v>
      </c>
      <c r="X7" s="1339">
        <f t="shared" ref="X7:X15" si="6">W7/V7*365/181*100</f>
        <v>2.9983583075717122</v>
      </c>
    </row>
    <row r="8" spans="1:25" ht="15.95" customHeight="1">
      <c r="A8" s="173"/>
      <c r="B8" s="108"/>
      <c r="C8" s="680" t="s">
        <v>150</v>
      </c>
      <c r="D8" s="756">
        <v>22973.187999999998</v>
      </c>
      <c r="E8" s="757">
        <v>342.75299999999999</v>
      </c>
      <c r="F8" s="758">
        <f t="shared" si="0"/>
        <v>1.4919696822225981</v>
      </c>
      <c r="G8" s="756">
        <v>22766.927</v>
      </c>
      <c r="H8" s="757">
        <v>97.79</v>
      </c>
      <c r="I8" s="758">
        <f t="shared" si="1"/>
        <v>1.7275464131335374</v>
      </c>
      <c r="J8" s="756">
        <v>23270.023000000001</v>
      </c>
      <c r="K8" s="757">
        <v>193.29499999999999</v>
      </c>
      <c r="L8" s="758">
        <f t="shared" si="2"/>
        <v>1.6704500931482573</v>
      </c>
      <c r="M8" s="756">
        <v>22795.477999999999</v>
      </c>
      <c r="N8" s="757">
        <v>292.68299999999999</v>
      </c>
      <c r="O8" s="758">
        <f t="shared" si="3"/>
        <v>1.7150599960553194</v>
      </c>
      <c r="P8" s="1154">
        <v>23124.513999999999</v>
      </c>
      <c r="Q8" s="1155">
        <v>395.91300000000001</v>
      </c>
      <c r="R8" s="1034">
        <f t="shared" si="4"/>
        <v>1.71209219791603</v>
      </c>
      <c r="S8" s="1234">
        <v>21104.407999999999</v>
      </c>
      <c r="T8" s="1235">
        <v>103.961</v>
      </c>
      <c r="U8" s="1233">
        <f t="shared" si="5"/>
        <v>1.9977798529629978</v>
      </c>
      <c r="V8" s="1178">
        <v>20682.184845921001</v>
      </c>
      <c r="W8" s="1179">
        <v>208.81848113300001</v>
      </c>
      <c r="X8" s="1339">
        <f t="shared" si="6"/>
        <v>2.0360423485279635</v>
      </c>
    </row>
    <row r="9" spans="1:25" ht="15.95" customHeight="1">
      <c r="A9" s="173"/>
      <c r="B9" s="108"/>
      <c r="C9" s="677" t="s">
        <v>151</v>
      </c>
      <c r="D9" s="756">
        <v>229093.796</v>
      </c>
      <c r="E9" s="757">
        <v>3859.681</v>
      </c>
      <c r="F9" s="758">
        <f t="shared" si="0"/>
        <v>1.6847601582366729</v>
      </c>
      <c r="G9" s="756">
        <v>241825.96900000001</v>
      </c>
      <c r="H9" s="757">
        <v>887.15700000000004</v>
      </c>
      <c r="I9" s="758">
        <f t="shared" si="1"/>
        <v>1.4754932941234098</v>
      </c>
      <c r="J9" s="756">
        <v>244696.44200000001</v>
      </c>
      <c r="K9" s="757">
        <v>1761.54</v>
      </c>
      <c r="L9" s="758">
        <f t="shared" si="2"/>
        <v>1.4476865921971935</v>
      </c>
      <c r="M9" s="756">
        <v>245416.47700000001</v>
      </c>
      <c r="N9" s="757">
        <v>2608.9810000000002</v>
      </c>
      <c r="O9" s="758">
        <f t="shared" si="3"/>
        <v>1.4200306603611226</v>
      </c>
      <c r="P9" s="1154">
        <v>246935.12100000001</v>
      </c>
      <c r="Q9" s="1155">
        <v>3447.7979999999998</v>
      </c>
      <c r="R9" s="1034">
        <f t="shared" si="4"/>
        <v>1.3962363822681989</v>
      </c>
      <c r="S9" s="1234">
        <v>247161.11</v>
      </c>
      <c r="T9" s="1235">
        <v>806.50900000000001</v>
      </c>
      <c r="U9" s="1233">
        <f t="shared" si="5"/>
        <v>1.323364365678547</v>
      </c>
      <c r="V9" s="1178">
        <v>248231.83381074399</v>
      </c>
      <c r="W9" s="1179">
        <v>1617.16256737</v>
      </c>
      <c r="X9" s="1339">
        <f t="shared" si="6"/>
        <v>1.3137432391872466</v>
      </c>
    </row>
    <row r="10" spans="1:25" ht="15.95" customHeight="1">
      <c r="A10" s="173"/>
      <c r="B10" s="108"/>
      <c r="C10" s="680" t="s">
        <v>152</v>
      </c>
      <c r="D10" s="756">
        <v>173868.016</v>
      </c>
      <c r="E10" s="757">
        <v>2917.6350000000002</v>
      </c>
      <c r="F10" s="758">
        <f t="shared" si="0"/>
        <v>1.678074591936449</v>
      </c>
      <c r="G10" s="756">
        <v>186067.921</v>
      </c>
      <c r="H10" s="757">
        <v>667.77499999999998</v>
      </c>
      <c r="I10" s="758">
        <f t="shared" si="1"/>
        <v>1.443438696574878</v>
      </c>
      <c r="J10" s="756">
        <v>188123.024</v>
      </c>
      <c r="K10" s="757">
        <v>1325.068</v>
      </c>
      <c r="L10" s="758">
        <f t="shared" si="2"/>
        <v>1.4164652099219852</v>
      </c>
      <c r="M10" s="756">
        <v>189206.06700000001</v>
      </c>
      <c r="N10" s="757">
        <v>1962.633</v>
      </c>
      <c r="O10" s="758">
        <f t="shared" si="3"/>
        <v>1.3855894286802772</v>
      </c>
      <c r="P10" s="1154">
        <v>190541.264</v>
      </c>
      <c r="Q10" s="1155">
        <v>2596.8090000000002</v>
      </c>
      <c r="R10" s="1034">
        <f t="shared" si="4"/>
        <v>1.362859123260566</v>
      </c>
      <c r="S10" s="1234">
        <v>192589.23199999999</v>
      </c>
      <c r="T10" s="1235">
        <v>599.45899999999995</v>
      </c>
      <c r="U10" s="1233">
        <f t="shared" si="5"/>
        <v>1.2623443442454654</v>
      </c>
      <c r="V10" s="1178">
        <v>193823.87541964601</v>
      </c>
      <c r="W10" s="1179">
        <v>1203.3209208630001</v>
      </c>
      <c r="X10" s="1339">
        <f t="shared" si="6"/>
        <v>1.2519543230274841</v>
      </c>
    </row>
    <row r="11" spans="1:25" ht="15.95" customHeight="1">
      <c r="A11" s="173"/>
      <c r="B11" s="108"/>
      <c r="C11" s="680" t="s">
        <v>153</v>
      </c>
      <c r="D11" s="756">
        <v>11568.322</v>
      </c>
      <c r="E11" s="757">
        <v>51.05</v>
      </c>
      <c r="F11" s="758">
        <f t="shared" si="0"/>
        <v>0.44129131260350463</v>
      </c>
      <c r="G11" s="756">
        <v>13837.869000000001</v>
      </c>
      <c r="H11" s="757">
        <v>18.16</v>
      </c>
      <c r="I11" s="758">
        <f t="shared" si="1"/>
        <v>0.52782058335080984</v>
      </c>
      <c r="J11" s="756">
        <v>14615.494000000001</v>
      </c>
      <c r="K11" s="757">
        <v>36.948</v>
      </c>
      <c r="L11" s="758">
        <f t="shared" si="2"/>
        <v>0.50837845082774458</v>
      </c>
      <c r="M11" s="756">
        <v>14798.094999999999</v>
      </c>
      <c r="N11" s="757">
        <v>53.62</v>
      </c>
      <c r="O11" s="758">
        <f t="shared" si="3"/>
        <v>0.48400686453518477</v>
      </c>
      <c r="P11" s="1154">
        <v>14838.683999999999</v>
      </c>
      <c r="Q11" s="1155">
        <v>70.228999999999999</v>
      </c>
      <c r="R11" s="1034">
        <f t="shared" si="4"/>
        <v>0.47328321029007697</v>
      </c>
      <c r="S11" s="1234">
        <v>14483.138000000001</v>
      </c>
      <c r="T11" s="1235">
        <v>17.657</v>
      </c>
      <c r="U11" s="1233">
        <f t="shared" si="5"/>
        <v>0.49442975993492877</v>
      </c>
      <c r="V11" s="1178">
        <v>14328.556991492</v>
      </c>
      <c r="W11" s="1179">
        <v>34.399743033</v>
      </c>
      <c r="X11" s="1339">
        <f t="shared" si="6"/>
        <v>0.48413561528858123</v>
      </c>
    </row>
    <row r="12" spans="1:25" ht="15.95" customHeight="1">
      <c r="A12" s="173"/>
      <c r="B12" s="108"/>
      <c r="C12" s="677" t="s">
        <v>154</v>
      </c>
      <c r="D12" s="756">
        <v>8832.3520000000008</v>
      </c>
      <c r="E12" s="757">
        <v>141.46899999999999</v>
      </c>
      <c r="F12" s="758">
        <f t="shared" si="0"/>
        <v>1.6017137903924117</v>
      </c>
      <c r="G12" s="756">
        <v>8701.6569999999992</v>
      </c>
      <c r="H12" s="757">
        <v>30.765999999999998</v>
      </c>
      <c r="I12" s="758">
        <f t="shared" si="1"/>
        <v>1.422030032029254</v>
      </c>
      <c r="J12" s="756">
        <v>8527.3529999999992</v>
      </c>
      <c r="K12" s="757">
        <v>59.252000000000002</v>
      </c>
      <c r="L12" s="758">
        <f t="shared" si="2"/>
        <v>1.3973283488923338</v>
      </c>
      <c r="M12" s="756">
        <v>8529.3770000000004</v>
      </c>
      <c r="N12" s="757">
        <v>87.21</v>
      </c>
      <c r="O12" s="758">
        <f t="shared" si="3"/>
        <v>1.3657760675958148</v>
      </c>
      <c r="P12" s="1154">
        <v>8669.5059999999994</v>
      </c>
      <c r="Q12" s="1155">
        <v>114.661</v>
      </c>
      <c r="R12" s="1034">
        <f t="shared" si="4"/>
        <v>1.3225782414822715</v>
      </c>
      <c r="S12" s="1234">
        <v>9062.9169999999995</v>
      </c>
      <c r="T12" s="1235">
        <v>27.045999999999999</v>
      </c>
      <c r="U12" s="1233">
        <f t="shared" si="5"/>
        <v>1.2102787166158044</v>
      </c>
      <c r="V12" s="1178">
        <v>8638.5445270069995</v>
      </c>
      <c r="W12" s="1179">
        <v>52.177659551999902</v>
      </c>
      <c r="X12" s="1339">
        <f t="shared" si="6"/>
        <v>1.2180309062660204</v>
      </c>
    </row>
    <row r="13" spans="1:25" ht="15.95" customHeight="1">
      <c r="A13" s="173"/>
      <c r="B13" s="108"/>
      <c r="C13" s="680" t="s">
        <v>155</v>
      </c>
      <c r="D13" s="756">
        <v>10647.454</v>
      </c>
      <c r="E13" s="757">
        <v>59.456000000000003</v>
      </c>
      <c r="F13" s="758">
        <f t="shared" si="0"/>
        <v>0.55840579353524333</v>
      </c>
      <c r="G13" s="756">
        <v>10748.51</v>
      </c>
      <c r="H13" s="757">
        <v>21.120999999999999</v>
      </c>
      <c r="I13" s="758">
        <f t="shared" si="1"/>
        <v>0.79032533627635626</v>
      </c>
      <c r="J13" s="756">
        <v>10776.133</v>
      </c>
      <c r="K13" s="757">
        <v>43.439</v>
      </c>
      <c r="L13" s="758">
        <f t="shared" si="2"/>
        <v>0.81063728192990614</v>
      </c>
      <c r="M13" s="756">
        <v>10091.779</v>
      </c>
      <c r="N13" s="757">
        <v>63.832999999999998</v>
      </c>
      <c r="O13" s="758">
        <f t="shared" si="3"/>
        <v>0.84490532444467681</v>
      </c>
      <c r="P13" s="1154">
        <v>10035.713</v>
      </c>
      <c r="Q13" s="1155">
        <v>84.527000000000001</v>
      </c>
      <c r="R13" s="1034">
        <f t="shared" si="4"/>
        <v>0.84226202961364072</v>
      </c>
      <c r="S13" s="1234">
        <v>8584.0679999999993</v>
      </c>
      <c r="T13" s="1235">
        <v>25.298999999999999</v>
      </c>
      <c r="U13" s="1233">
        <f t="shared" si="5"/>
        <v>1.1952549770108998</v>
      </c>
      <c r="V13" s="1178">
        <v>8457.8795904569997</v>
      </c>
      <c r="W13" s="1179">
        <v>51.687904357000001</v>
      </c>
      <c r="X13" s="1339">
        <f t="shared" si="6"/>
        <v>1.232371697850636</v>
      </c>
    </row>
    <row r="14" spans="1:25" ht="15.95" customHeight="1">
      <c r="A14" s="173"/>
      <c r="B14" s="108"/>
      <c r="C14" s="680" t="s">
        <v>156</v>
      </c>
      <c r="D14" s="265">
        <v>14369.655000000001</v>
      </c>
      <c r="E14" s="264">
        <v>449.23399999999998</v>
      </c>
      <c r="F14" s="758">
        <f t="shared" si="0"/>
        <v>3.1262685151452834</v>
      </c>
      <c r="G14" s="265">
        <v>13364.813</v>
      </c>
      <c r="H14" s="264">
        <v>96.228999999999999</v>
      </c>
      <c r="I14" s="758">
        <f t="shared" si="1"/>
        <v>2.895894787880108</v>
      </c>
      <c r="J14" s="265">
        <v>13783.638999999999</v>
      </c>
      <c r="K14" s="264">
        <v>193.65</v>
      </c>
      <c r="L14" s="758">
        <f t="shared" si="2"/>
        <v>2.8252917968761517</v>
      </c>
      <c r="M14" s="265">
        <v>14114.1</v>
      </c>
      <c r="N14" s="264">
        <v>291.661</v>
      </c>
      <c r="O14" s="758">
        <f t="shared" si="3"/>
        <v>2.7602962342828783</v>
      </c>
      <c r="P14" s="1156">
        <v>14233.558000000001</v>
      </c>
      <c r="Q14" s="1157">
        <v>386.02300000000002</v>
      </c>
      <c r="R14" s="1034">
        <f t="shared" si="4"/>
        <v>2.7120625777476022</v>
      </c>
      <c r="S14" s="1234">
        <v>14790.45</v>
      </c>
      <c r="T14" s="1235">
        <v>90.242000000000004</v>
      </c>
      <c r="U14" s="1233">
        <f t="shared" si="5"/>
        <v>2.474444282928812</v>
      </c>
      <c r="V14" s="1178">
        <v>15380.004069496001</v>
      </c>
      <c r="W14" s="1179">
        <v>184.14973864699999</v>
      </c>
      <c r="X14" s="1339">
        <f t="shared" si="6"/>
        <v>2.4145096531115731</v>
      </c>
    </row>
    <row r="15" spans="1:25" ht="15.95" customHeight="1" thickBot="1">
      <c r="A15" s="173"/>
      <c r="B15" s="108"/>
      <c r="C15" s="678" t="s">
        <v>157</v>
      </c>
      <c r="D15" s="759">
        <v>4851.2889999999998</v>
      </c>
      <c r="E15" s="760">
        <v>132.19499999999999</v>
      </c>
      <c r="F15" s="758">
        <f>E15/D15*365/365*100</f>
        <v>2.7249458855161999</v>
      </c>
      <c r="G15" s="759">
        <v>4276.5150000000003</v>
      </c>
      <c r="H15" s="760">
        <v>27.190999999999999</v>
      </c>
      <c r="I15" s="758">
        <f>H15/G15*366/91*100</f>
        <v>2.5572599276655028</v>
      </c>
      <c r="J15" s="759">
        <v>4111.1760000000004</v>
      </c>
      <c r="K15" s="760">
        <v>52.14</v>
      </c>
      <c r="L15" s="758">
        <f>K15/J15*366/182*100</f>
        <v>2.5504373209263487</v>
      </c>
      <c r="M15" s="759">
        <v>4018.87</v>
      </c>
      <c r="N15" s="760">
        <v>76.674000000000007</v>
      </c>
      <c r="O15" s="758">
        <f>N15/M15*366/274*100</f>
        <v>2.5484415953869015</v>
      </c>
      <c r="P15" s="1158">
        <v>3950.614</v>
      </c>
      <c r="Q15" s="1159">
        <v>100.45399999999999</v>
      </c>
      <c r="R15" s="1034">
        <f t="shared" si="4"/>
        <v>2.5427439886559404</v>
      </c>
      <c r="S15" s="1236">
        <v>3715.7530000000002</v>
      </c>
      <c r="T15" s="1237">
        <v>27.988</v>
      </c>
      <c r="U15" s="1233">
        <f t="shared" si="5"/>
        <v>3.0547479579210162</v>
      </c>
      <c r="V15" s="1180">
        <v>3654.9226434500001</v>
      </c>
      <c r="W15" s="1181">
        <v>54.490122851999999</v>
      </c>
      <c r="X15" s="1339">
        <f t="shared" si="6"/>
        <v>3.0064493186583343</v>
      </c>
    </row>
    <row r="16" spans="1:25" ht="15.95" customHeight="1">
      <c r="A16" s="173"/>
      <c r="B16" s="108"/>
      <c r="C16" s="699" t="s">
        <v>158</v>
      </c>
      <c r="D16" s="761" t="s">
        <v>2</v>
      </c>
      <c r="E16" s="762" t="s">
        <v>2</v>
      </c>
      <c r="F16" s="763">
        <f>F6-F9</f>
        <v>1.3712274268626437</v>
      </c>
      <c r="G16" s="761" t="s">
        <v>2</v>
      </c>
      <c r="H16" s="762" t="s">
        <v>2</v>
      </c>
      <c r="I16" s="763">
        <f>I6-I9</f>
        <v>1.4034186805298585</v>
      </c>
      <c r="J16" s="761" t="s">
        <v>2</v>
      </c>
      <c r="K16" s="762" t="s">
        <v>2</v>
      </c>
      <c r="L16" s="763">
        <f>L6-L9</f>
        <v>1.3994657321316804</v>
      </c>
      <c r="M16" s="761" t="s">
        <v>2</v>
      </c>
      <c r="N16" s="762" t="s">
        <v>2</v>
      </c>
      <c r="O16" s="763">
        <f>O6-O9</f>
        <v>1.3944680971048193</v>
      </c>
      <c r="P16" s="1160" t="s">
        <v>2</v>
      </c>
      <c r="Q16" s="1161" t="s">
        <v>2</v>
      </c>
      <c r="R16" s="1035">
        <f>R6-R9</f>
        <v>1.3800747455637548</v>
      </c>
      <c r="S16" s="1238" t="s">
        <v>2</v>
      </c>
      <c r="T16" s="1239" t="s">
        <v>2</v>
      </c>
      <c r="U16" s="1240">
        <f>U6-U9</f>
        <v>1.4106833580808396</v>
      </c>
      <c r="V16" s="1182" t="s">
        <v>553</v>
      </c>
      <c r="W16" s="1183" t="s">
        <v>553</v>
      </c>
      <c r="X16" s="1340">
        <f>X6-X9</f>
        <v>1.4187257314878363</v>
      </c>
    </row>
    <row r="17" spans="1:24" ht="15.95" customHeight="1">
      <c r="A17" s="173"/>
      <c r="B17" s="108"/>
      <c r="C17" s="700" t="s">
        <v>159</v>
      </c>
      <c r="D17" s="271" t="s">
        <v>2</v>
      </c>
      <c r="E17" s="269" t="s">
        <v>2</v>
      </c>
      <c r="F17" s="270">
        <f>F7-F10</f>
        <v>1.7293973481602618</v>
      </c>
      <c r="G17" s="271" t="s">
        <v>2</v>
      </c>
      <c r="H17" s="269" t="s">
        <v>2</v>
      </c>
      <c r="I17" s="270">
        <f>I7-I10</f>
        <v>1.7238317938388625</v>
      </c>
      <c r="J17" s="271" t="s">
        <v>2</v>
      </c>
      <c r="K17" s="269" t="s">
        <v>2</v>
      </c>
      <c r="L17" s="270">
        <f>L7-L10</f>
        <v>1.7232625589491639</v>
      </c>
      <c r="M17" s="271" t="s">
        <v>2</v>
      </c>
      <c r="N17" s="269" t="s">
        <v>2</v>
      </c>
      <c r="O17" s="270">
        <f>O7-O10</f>
        <v>1.7124188604321853</v>
      </c>
      <c r="P17" s="1162" t="s">
        <v>2</v>
      </c>
      <c r="Q17" s="1163" t="s">
        <v>2</v>
      </c>
      <c r="R17" s="1036">
        <f>R7-R10</f>
        <v>1.6994988759736613</v>
      </c>
      <c r="S17" s="1241" t="s">
        <v>2</v>
      </c>
      <c r="T17" s="1242" t="s">
        <v>2</v>
      </c>
      <c r="U17" s="1243">
        <f>U7-U10</f>
        <v>1.7407593263024104</v>
      </c>
      <c r="V17" s="1184" t="s">
        <v>554</v>
      </c>
      <c r="W17" s="1185" t="s">
        <v>554</v>
      </c>
      <c r="X17" s="1341">
        <f>X7-X10</f>
        <v>1.7464039845442281</v>
      </c>
    </row>
    <row r="18" spans="1:24" ht="15.95" customHeight="1">
      <c r="A18" s="173"/>
      <c r="B18" s="108"/>
      <c r="C18" s="700" t="s">
        <v>160</v>
      </c>
      <c r="D18" s="271" t="s">
        <v>2</v>
      </c>
      <c r="E18" s="269" t="s">
        <v>2</v>
      </c>
      <c r="F18" s="270">
        <f>F8-F11</f>
        <v>1.0506783696190936</v>
      </c>
      <c r="G18" s="271" t="s">
        <v>2</v>
      </c>
      <c r="H18" s="269" t="s">
        <v>2</v>
      </c>
      <c r="I18" s="270">
        <f>I8-I11</f>
        <v>1.1997258297827276</v>
      </c>
      <c r="J18" s="271" t="s">
        <v>2</v>
      </c>
      <c r="K18" s="269" t="s">
        <v>2</v>
      </c>
      <c r="L18" s="270">
        <f>L8-L11</f>
        <v>1.1620716423205129</v>
      </c>
      <c r="M18" s="271" t="s">
        <v>2</v>
      </c>
      <c r="N18" s="269" t="s">
        <v>2</v>
      </c>
      <c r="O18" s="270">
        <f>O8-O11</f>
        <v>1.2310531315201347</v>
      </c>
      <c r="P18" s="1162" t="s">
        <v>2</v>
      </c>
      <c r="Q18" s="1163" t="s">
        <v>2</v>
      </c>
      <c r="R18" s="1036">
        <f>R8-R11</f>
        <v>1.2388089876259529</v>
      </c>
      <c r="S18" s="1241" t="s">
        <v>2</v>
      </c>
      <c r="T18" s="1242" t="s">
        <v>2</v>
      </c>
      <c r="U18" s="1243">
        <f>U8-U11</f>
        <v>1.503350093028069</v>
      </c>
      <c r="V18" s="1184" t="s">
        <v>553</v>
      </c>
      <c r="W18" s="1185" t="s">
        <v>554</v>
      </c>
      <c r="X18" s="1341">
        <f>X8-X11</f>
        <v>1.5519067332393823</v>
      </c>
    </row>
    <row r="19" spans="1:24" ht="15.95" customHeight="1">
      <c r="A19" s="173"/>
      <c r="B19" s="108"/>
      <c r="C19" s="701" t="s">
        <v>161</v>
      </c>
      <c r="D19" s="274">
        <v>234626.44399999999</v>
      </c>
      <c r="E19" s="272">
        <v>3310.4740000000002</v>
      </c>
      <c r="F19" s="273">
        <f>E19/D19*365/365*100</f>
        <v>1.4109551948031911</v>
      </c>
      <c r="G19" s="274">
        <v>247442.196</v>
      </c>
      <c r="H19" s="272">
        <v>884.02200000000005</v>
      </c>
      <c r="I19" s="273">
        <f>H19/G19*366/91*100</f>
        <v>1.4369081395256671</v>
      </c>
      <c r="J19" s="274">
        <v>249356.64199999999</v>
      </c>
      <c r="K19" s="272">
        <v>1768.8440000000001</v>
      </c>
      <c r="L19" s="273">
        <f>K19/J19*366/182*100</f>
        <v>1.4265213942662278</v>
      </c>
      <c r="M19" s="274">
        <v>250033.943</v>
      </c>
      <c r="N19" s="272">
        <v>2659.3069999999998</v>
      </c>
      <c r="O19" s="273">
        <f>N19/M19*366/274*100</f>
        <v>1.4206923097637187</v>
      </c>
      <c r="P19" s="1164">
        <v>251661.96</v>
      </c>
      <c r="Q19" s="1165">
        <v>3539.12</v>
      </c>
      <c r="R19" s="1037">
        <f t="shared" ref="R19:R21" si="7">Q19/P19*365/365*100</f>
        <v>1.4062991482701637</v>
      </c>
      <c r="S19" s="1244">
        <v>251987.264</v>
      </c>
      <c r="T19" s="1245">
        <v>892.26099999999997</v>
      </c>
      <c r="U19" s="1233">
        <f t="shared" ref="U19:U21" si="8">T19/S19*365/90*100</f>
        <v>1.436030535081152</v>
      </c>
      <c r="V19" s="1186">
        <v>252707.32850028601</v>
      </c>
      <c r="W19" s="1187">
        <v>1807.0347755299999</v>
      </c>
      <c r="X19" s="1339">
        <f>W19/V19*365/181*100</f>
        <v>1.4419923732797364</v>
      </c>
    </row>
    <row r="20" spans="1:24" ht="15.95" customHeight="1">
      <c r="A20" s="173"/>
      <c r="B20" s="108"/>
      <c r="C20" s="700" t="s">
        <v>162</v>
      </c>
      <c r="D20" s="274">
        <v>208517.22500000001</v>
      </c>
      <c r="E20" s="272">
        <v>3195.83</v>
      </c>
      <c r="F20" s="273">
        <f>E20/D20*365/365*100</f>
        <v>1.5326455644132038</v>
      </c>
      <c r="G20" s="274">
        <v>220129.234</v>
      </c>
      <c r="H20" s="272">
        <v>846.37900000000013</v>
      </c>
      <c r="I20" s="273">
        <f>H20/G20*366/91*100</f>
        <v>1.5464178357444958</v>
      </c>
      <c r="J20" s="274">
        <v>221625.11300000001</v>
      </c>
      <c r="K20" s="272">
        <v>1695.3489999999999</v>
      </c>
      <c r="L20" s="273">
        <f>K20/J20*366/182*100</f>
        <v>1.5383311767521619</v>
      </c>
      <c r="M20" s="274">
        <v>222793.58100000001</v>
      </c>
      <c r="N20" s="272">
        <v>2540.527</v>
      </c>
      <c r="O20" s="273">
        <f>N20/M20*366/274*100</f>
        <v>1.5231815248005627</v>
      </c>
      <c r="P20" s="1164">
        <v>224133.66200000001</v>
      </c>
      <c r="Q20" s="1165">
        <v>3370.502</v>
      </c>
      <c r="R20" s="1037">
        <f t="shared" si="7"/>
        <v>1.5037910726680583</v>
      </c>
      <c r="S20" s="1244">
        <v>226327.158</v>
      </c>
      <c r="T20" s="1245">
        <v>849.59299999999996</v>
      </c>
      <c r="U20" s="1233">
        <f t="shared" si="8"/>
        <v>1.5223854006557669</v>
      </c>
      <c r="V20" s="1186">
        <v>227457.25964536899</v>
      </c>
      <c r="W20" s="1187">
        <v>1718.277612012</v>
      </c>
      <c r="X20" s="1339">
        <f>W20/V20*365/181*100</f>
        <v>1.5233784882715924</v>
      </c>
    </row>
    <row r="21" spans="1:24" ht="15.95" customHeight="1" thickBot="1">
      <c r="A21" s="173"/>
      <c r="B21" s="108"/>
      <c r="C21" s="678" t="s">
        <v>163</v>
      </c>
      <c r="D21" s="764">
        <v>26109.219000000001</v>
      </c>
      <c r="E21" s="765">
        <v>114.645</v>
      </c>
      <c r="F21" s="766">
        <f>E21/D21*365/365*100</f>
        <v>0.43909777615331957</v>
      </c>
      <c r="G21" s="764">
        <v>27312.962</v>
      </c>
      <c r="H21" s="765">
        <v>37.643000000000001</v>
      </c>
      <c r="I21" s="766">
        <f>H21/G21*366/91*100</f>
        <v>0.55431307187158496</v>
      </c>
      <c r="J21" s="764">
        <v>27731.528999999999</v>
      </c>
      <c r="K21" s="765">
        <v>73.495000000000005</v>
      </c>
      <c r="L21" s="766">
        <f>K21/J21*366/182*100</f>
        <v>0.53295884753645351</v>
      </c>
      <c r="M21" s="764">
        <v>27240.363000000001</v>
      </c>
      <c r="N21" s="765">
        <v>118.78100000000001</v>
      </c>
      <c r="O21" s="766">
        <f>N21/M21*366/274*100</f>
        <v>0.58245799269579013</v>
      </c>
      <c r="P21" s="1166">
        <v>27528.297999999999</v>
      </c>
      <c r="Q21" s="1167">
        <v>168.61799999999999</v>
      </c>
      <c r="R21" s="1038">
        <f t="shared" si="7"/>
        <v>0.61252606318051328</v>
      </c>
      <c r="S21" s="1246">
        <v>25660.106</v>
      </c>
      <c r="T21" s="1247">
        <v>42.668700000000001</v>
      </c>
      <c r="U21" s="1248">
        <f t="shared" si="8"/>
        <v>0.67437477979761018</v>
      </c>
      <c r="V21" s="1188">
        <v>25250.068854917001</v>
      </c>
      <c r="W21" s="1189">
        <v>88.757163517999999</v>
      </c>
      <c r="X21" s="1342">
        <f>W21/V21*365/181*100</f>
        <v>0.70885129570102701</v>
      </c>
    </row>
    <row r="22" spans="1:24">
      <c r="A22" s="173"/>
      <c r="B22" s="108"/>
      <c r="C22" s="201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</row>
    <row r="23" spans="1:24" ht="17.25">
      <c r="A23" s="173"/>
      <c r="B23" s="108"/>
      <c r="C23" s="169" t="s">
        <v>408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</row>
    <row r="24" spans="1:24">
      <c r="A24" s="173"/>
      <c r="B24" s="108"/>
      <c r="C24" s="498"/>
      <c r="D24" s="1428" t="s">
        <v>469</v>
      </c>
      <c r="E24" s="1429"/>
      <c r="F24" s="1430"/>
      <c r="G24" s="1428" t="s">
        <v>471</v>
      </c>
      <c r="H24" s="1429"/>
      <c r="I24" s="1430"/>
      <c r="J24" s="1428" t="s">
        <v>486</v>
      </c>
      <c r="K24" s="1429"/>
      <c r="L24" s="1430"/>
      <c r="M24" s="1428" t="s">
        <v>490</v>
      </c>
      <c r="N24" s="1429"/>
      <c r="O24" s="1430"/>
      <c r="P24" s="1428" t="s">
        <v>492</v>
      </c>
      <c r="Q24" s="1429"/>
      <c r="R24" s="1430"/>
      <c r="S24" s="1428" t="s">
        <v>498</v>
      </c>
      <c r="T24" s="1429"/>
      <c r="U24" s="1430"/>
      <c r="V24" s="1428" t="s">
        <v>502</v>
      </c>
      <c r="W24" s="1429"/>
      <c r="X24" s="1430"/>
    </row>
    <row r="25" spans="1:24" ht="15.75" thickBot="1">
      <c r="A25" s="173"/>
      <c r="B25" s="108"/>
      <c r="C25" s="497" t="s">
        <v>147</v>
      </c>
      <c r="D25" s="696" t="s">
        <v>327</v>
      </c>
      <c r="E25" s="697" t="s">
        <v>328</v>
      </c>
      <c r="F25" s="698" t="s">
        <v>1</v>
      </c>
      <c r="G25" s="696" t="s">
        <v>327</v>
      </c>
      <c r="H25" s="697" t="s">
        <v>328</v>
      </c>
      <c r="I25" s="698" t="s">
        <v>1</v>
      </c>
      <c r="J25" s="696" t="s">
        <v>327</v>
      </c>
      <c r="K25" s="697" t="s">
        <v>328</v>
      </c>
      <c r="L25" s="698" t="s">
        <v>1</v>
      </c>
      <c r="M25" s="696" t="s">
        <v>327</v>
      </c>
      <c r="N25" s="697" t="s">
        <v>328</v>
      </c>
      <c r="O25" s="698" t="s">
        <v>1</v>
      </c>
      <c r="P25" s="696" t="s">
        <v>327</v>
      </c>
      <c r="Q25" s="697" t="s">
        <v>328</v>
      </c>
      <c r="R25" s="698" t="s">
        <v>1</v>
      </c>
      <c r="S25" s="696" t="s">
        <v>327</v>
      </c>
      <c r="T25" s="697" t="s">
        <v>328</v>
      </c>
      <c r="U25" s="698" t="s">
        <v>1</v>
      </c>
      <c r="V25" s="696" t="s">
        <v>327</v>
      </c>
      <c r="W25" s="697" t="s">
        <v>328</v>
      </c>
      <c r="X25" s="698" t="s">
        <v>1</v>
      </c>
    </row>
    <row r="26" spans="1:24" ht="15.95" customHeight="1">
      <c r="A26" s="173"/>
      <c r="B26" s="108"/>
      <c r="C26" s="677" t="s">
        <v>313</v>
      </c>
      <c r="D26" s="261">
        <v>244193.57399999999</v>
      </c>
      <c r="E26" s="259">
        <v>1767.528</v>
      </c>
      <c r="F26" s="260">
        <f>E26/D26*365/92*100</f>
        <v>2.8716870401312469</v>
      </c>
      <c r="G26" s="261">
        <v>247442.196</v>
      </c>
      <c r="H26" s="259">
        <v>1771.1790000000001</v>
      </c>
      <c r="I26" s="260">
        <f>H26/G26*366/91*100</f>
        <v>2.8789119746532683</v>
      </c>
      <c r="J26" s="756">
        <v>251271.087</v>
      </c>
      <c r="K26" s="757">
        <v>1759.2049999999999</v>
      </c>
      <c r="L26" s="758">
        <f>K26/J26*366/91*100</f>
        <v>2.8158766416901142</v>
      </c>
      <c r="M26" s="756">
        <v>251373.823</v>
      </c>
      <c r="N26" s="757">
        <v>1737.905</v>
      </c>
      <c r="O26" s="758">
        <f>N26/M26*366/92*100</f>
        <v>2.7504214138167193</v>
      </c>
      <c r="P26" s="1154">
        <v>256510.617</v>
      </c>
      <c r="Q26" s="1155">
        <v>1718.63</v>
      </c>
      <c r="R26" s="1034">
        <f>Q26/P26*4*100</f>
        <v>2.6800138257045325</v>
      </c>
      <c r="S26" s="1231">
        <v>251987.264</v>
      </c>
      <c r="T26" s="1232">
        <v>1698.769</v>
      </c>
      <c r="U26" s="1233">
        <f>T26/S26*365/90*100</f>
        <v>2.7340477237593865</v>
      </c>
      <c r="V26" s="1176">
        <v>253419.48017360101</v>
      </c>
      <c r="W26" s="1177">
        <v>1725.4281657060001</v>
      </c>
      <c r="X26" s="1339">
        <f>W26/V26*365/91*100</f>
        <v>2.7309161107728559</v>
      </c>
    </row>
    <row r="27" spans="1:24" ht="15.95" customHeight="1">
      <c r="A27" s="173"/>
      <c r="B27" s="108"/>
      <c r="C27" s="680" t="s">
        <v>314</v>
      </c>
      <c r="D27" s="261">
        <v>189222.948</v>
      </c>
      <c r="E27" s="259">
        <v>1521.346</v>
      </c>
      <c r="F27" s="260">
        <f t="shared" ref="F27:F34" si="9">E27/D27*365/92*100</f>
        <v>3.1897689762788959</v>
      </c>
      <c r="G27" s="261">
        <v>192922.139</v>
      </c>
      <c r="H27" s="259">
        <v>1519.2439999999999</v>
      </c>
      <c r="I27" s="260">
        <f t="shared" ref="I27:I34" si="10">H27/G27*366/91*100</f>
        <v>3.1672704904137405</v>
      </c>
      <c r="J27" s="756">
        <v>195526.636</v>
      </c>
      <c r="K27" s="757">
        <v>1513.153</v>
      </c>
      <c r="L27" s="758">
        <f t="shared" ref="L27:L34" si="11">K27/J27*366/91*100</f>
        <v>3.1125519440175453</v>
      </c>
      <c r="M27" s="756">
        <v>196588.139</v>
      </c>
      <c r="N27" s="757">
        <v>1490.606</v>
      </c>
      <c r="O27" s="758">
        <f t="shared" ref="O27:O34" si="12">N27/M27*366/92*100</f>
        <v>3.016468619065126</v>
      </c>
      <c r="P27" s="1154">
        <v>197389.92</v>
      </c>
      <c r="Q27" s="1155">
        <v>1467.4059999999999</v>
      </c>
      <c r="R27" s="1034">
        <f>Q27/P27*4*100</f>
        <v>2.9736189163053512</v>
      </c>
      <c r="S27" s="1234">
        <v>196942.07999999999</v>
      </c>
      <c r="T27" s="1235">
        <v>1458.3389999999999</v>
      </c>
      <c r="U27" s="1233">
        <f t="shared" ref="U27:U35" si="13">T27/S27*365/90*100</f>
        <v>3.0031036705478757</v>
      </c>
      <c r="V27" s="1178">
        <v>198775.67267261699</v>
      </c>
      <c r="W27" s="1179">
        <v>1483.6155783429999</v>
      </c>
      <c r="X27" s="1339">
        <f t="shared" ref="X27:X35" si="14">W27/V27*365/91*100</f>
        <v>2.9937092911096692</v>
      </c>
    </row>
    <row r="28" spans="1:24" ht="15.95" customHeight="1">
      <c r="A28" s="173"/>
      <c r="B28" s="108"/>
      <c r="C28" s="680" t="s">
        <v>315</v>
      </c>
      <c r="D28" s="261">
        <v>23712.935000000001</v>
      </c>
      <c r="E28" s="259">
        <v>90.155000000000001</v>
      </c>
      <c r="F28" s="260">
        <f t="shared" si="9"/>
        <v>1.5083757579712431</v>
      </c>
      <c r="G28" s="261">
        <v>22766.927</v>
      </c>
      <c r="H28" s="259">
        <v>97.79</v>
      </c>
      <c r="I28" s="260">
        <f t="shared" si="10"/>
        <v>1.7275464131335374</v>
      </c>
      <c r="J28" s="756">
        <v>23773.117999999999</v>
      </c>
      <c r="K28" s="757">
        <v>95.504999999999995</v>
      </c>
      <c r="L28" s="758">
        <f t="shared" si="11"/>
        <v>1.6157704302355751</v>
      </c>
      <c r="M28" s="756">
        <v>21856.704000000002</v>
      </c>
      <c r="N28" s="757">
        <v>99.388000000000005</v>
      </c>
      <c r="O28" s="758">
        <f t="shared" si="12"/>
        <v>1.8090165438684069</v>
      </c>
      <c r="P28" s="1154">
        <v>24104.469000000001</v>
      </c>
      <c r="Q28" s="1155">
        <v>103.23</v>
      </c>
      <c r="R28" s="1034">
        <f t="shared" ref="R28:R35" si="15">Q28/P28*4*100</f>
        <v>1.7130433364866904</v>
      </c>
      <c r="S28" s="1234">
        <v>21104.407999999999</v>
      </c>
      <c r="T28" s="1235">
        <v>103.961</v>
      </c>
      <c r="U28" s="1233">
        <f t="shared" si="13"/>
        <v>1.9977798529629978</v>
      </c>
      <c r="V28" s="1178">
        <v>20264.601748990099</v>
      </c>
      <c r="W28" s="1179">
        <v>104.857461352</v>
      </c>
      <c r="X28" s="1339">
        <f t="shared" si="14"/>
        <v>2.0754522117565766</v>
      </c>
    </row>
    <row r="29" spans="1:24" ht="15.95" customHeight="1">
      <c r="A29" s="173"/>
      <c r="B29" s="108"/>
      <c r="C29" s="677" t="s">
        <v>316</v>
      </c>
      <c r="D29" s="261">
        <v>238702.614</v>
      </c>
      <c r="E29" s="259">
        <v>905.822</v>
      </c>
      <c r="F29" s="260">
        <f t="shared" si="9"/>
        <v>1.5055345502362016</v>
      </c>
      <c r="G29" s="261">
        <v>241825.96900000001</v>
      </c>
      <c r="H29" s="259">
        <v>887.15700000000004</v>
      </c>
      <c r="I29" s="260">
        <f t="shared" si="10"/>
        <v>1.4754932941234098</v>
      </c>
      <c r="J29" s="756">
        <v>247566.91500000001</v>
      </c>
      <c r="K29" s="757">
        <v>874.38300000000004</v>
      </c>
      <c r="L29" s="758">
        <f t="shared" si="11"/>
        <v>1.4205247130018197</v>
      </c>
      <c r="M29" s="756">
        <v>246840.89300000001</v>
      </c>
      <c r="N29" s="757">
        <v>847.44200000000001</v>
      </c>
      <c r="O29" s="758">
        <f t="shared" si="12"/>
        <v>1.3657969337463411</v>
      </c>
      <c r="P29" s="1154">
        <v>251458.04199999999</v>
      </c>
      <c r="Q29" s="1155">
        <v>838.81700000000001</v>
      </c>
      <c r="R29" s="1034">
        <f t="shared" si="15"/>
        <v>1.3343251913176037</v>
      </c>
      <c r="S29" s="1234">
        <v>247161.11</v>
      </c>
      <c r="T29" s="1235">
        <v>806.50900000000001</v>
      </c>
      <c r="U29" s="1233">
        <f t="shared" si="13"/>
        <v>1.323364365678547</v>
      </c>
      <c r="V29" s="1178">
        <v>249290.79146946201</v>
      </c>
      <c r="W29" s="1179">
        <v>810.65390122300005</v>
      </c>
      <c r="X29" s="1339">
        <f t="shared" si="14"/>
        <v>1.3043096659746189</v>
      </c>
    </row>
    <row r="30" spans="1:24" ht="15.95" customHeight="1">
      <c r="A30" s="173"/>
      <c r="B30" s="108"/>
      <c r="C30" s="680" t="s">
        <v>152</v>
      </c>
      <c r="D30" s="261">
        <v>181310.35</v>
      </c>
      <c r="E30" s="259">
        <v>685.15499999999997</v>
      </c>
      <c r="F30" s="260">
        <f t="shared" si="9"/>
        <v>1.4992403848596809</v>
      </c>
      <c r="G30" s="261">
        <v>186067.921</v>
      </c>
      <c r="H30" s="259">
        <v>667.77499999999998</v>
      </c>
      <c r="I30" s="260">
        <f t="shared" si="10"/>
        <v>1.443438696574878</v>
      </c>
      <c r="J30" s="756">
        <v>190178.12700000001</v>
      </c>
      <c r="K30" s="757">
        <v>657.29300000000001</v>
      </c>
      <c r="L30" s="758">
        <f t="shared" si="11"/>
        <v>1.3900746850872077</v>
      </c>
      <c r="M30" s="756">
        <v>191348.609</v>
      </c>
      <c r="N30" s="757">
        <v>637.56500000000005</v>
      </c>
      <c r="O30" s="758">
        <f t="shared" si="12"/>
        <v>1.3255387141614121</v>
      </c>
      <c r="P30" s="1154">
        <v>194517.82699999999</v>
      </c>
      <c r="Q30" s="1155">
        <v>634.17600000000004</v>
      </c>
      <c r="R30" s="1034">
        <f t="shared" si="15"/>
        <v>1.3040984670263667</v>
      </c>
      <c r="S30" s="1234">
        <v>192589.23199999999</v>
      </c>
      <c r="T30" s="1235">
        <v>599.45899999999995</v>
      </c>
      <c r="U30" s="1233">
        <f t="shared" si="13"/>
        <v>1.2623443442454654</v>
      </c>
      <c r="V30" s="1178">
        <v>195044.95143653901</v>
      </c>
      <c r="W30" s="1179">
        <v>603.86214788799998</v>
      </c>
      <c r="X30" s="1339">
        <f t="shared" si="14"/>
        <v>1.2418083223851364</v>
      </c>
    </row>
    <row r="31" spans="1:24" ht="15.95" customHeight="1">
      <c r="A31" s="173"/>
      <c r="B31" s="108"/>
      <c r="C31" s="680" t="s">
        <v>153</v>
      </c>
      <c r="D31" s="261">
        <v>13845.98</v>
      </c>
      <c r="E31" s="259">
        <v>14.965999999999999</v>
      </c>
      <c r="F31" s="260">
        <f t="shared" si="9"/>
        <v>0.42883189388450338</v>
      </c>
      <c r="G31" s="261">
        <v>13837.869000000001</v>
      </c>
      <c r="H31" s="259">
        <v>18.16</v>
      </c>
      <c r="I31" s="260">
        <f t="shared" si="10"/>
        <v>0.52782058335080984</v>
      </c>
      <c r="J31" s="756">
        <v>15393.119000000001</v>
      </c>
      <c r="K31" s="757">
        <v>18.788</v>
      </c>
      <c r="L31" s="758">
        <f t="shared" si="11"/>
        <v>0.49090066202257698</v>
      </c>
      <c r="M31" s="756">
        <v>15159.329</v>
      </c>
      <c r="N31" s="757">
        <v>16.672000000000001</v>
      </c>
      <c r="O31" s="758">
        <f t="shared" si="12"/>
        <v>0.43752309365006398</v>
      </c>
      <c r="P31" s="1154">
        <v>14959.565000000001</v>
      </c>
      <c r="Q31" s="1155">
        <v>16.608000000000001</v>
      </c>
      <c r="R31" s="1034">
        <f t="shared" si="15"/>
        <v>0.44407708379220923</v>
      </c>
      <c r="S31" s="1234">
        <v>14483.138000000001</v>
      </c>
      <c r="T31" s="1235">
        <v>17.657</v>
      </c>
      <c r="U31" s="1233">
        <f t="shared" si="13"/>
        <v>0.49442975993492877</v>
      </c>
      <c r="V31" s="1178">
        <v>14175.675163566</v>
      </c>
      <c r="W31" s="1179">
        <v>16.742716255000001</v>
      </c>
      <c r="X31" s="1339">
        <f t="shared" si="14"/>
        <v>0.47373299781524325</v>
      </c>
    </row>
    <row r="32" spans="1:24" ht="15.95" customHeight="1">
      <c r="A32" s="173"/>
      <c r="B32" s="108"/>
      <c r="C32" s="677" t="s">
        <v>317</v>
      </c>
      <c r="D32" s="261">
        <v>9376.9279999999999</v>
      </c>
      <c r="E32" s="259">
        <v>34.08</v>
      </c>
      <c r="F32" s="260">
        <f t="shared" si="9"/>
        <v>1.4419295493382687</v>
      </c>
      <c r="G32" s="261">
        <v>8701.6569999999992</v>
      </c>
      <c r="H32" s="259">
        <v>30.765999999999998</v>
      </c>
      <c r="I32" s="260">
        <f t="shared" si="10"/>
        <v>1.422030032029254</v>
      </c>
      <c r="J32" s="756">
        <v>8353.0490000000009</v>
      </c>
      <c r="K32" s="757">
        <v>28.486000000000001</v>
      </c>
      <c r="L32" s="758">
        <f t="shared" si="11"/>
        <v>1.3715957602315743</v>
      </c>
      <c r="M32" s="756">
        <v>8533.3799999999992</v>
      </c>
      <c r="N32" s="757">
        <v>27.957999999999998</v>
      </c>
      <c r="O32" s="758">
        <f t="shared" si="12"/>
        <v>1.3034016695764674</v>
      </c>
      <c r="P32" s="1154">
        <v>9086.848</v>
      </c>
      <c r="Q32" s="1155">
        <v>27.451000000000001</v>
      </c>
      <c r="R32" s="1034">
        <f t="shared" si="15"/>
        <v>1.2083838092152526</v>
      </c>
      <c r="S32" s="1234">
        <v>9062.9169999999995</v>
      </c>
      <c r="T32" s="1235">
        <v>27.045999999999999</v>
      </c>
      <c r="U32" s="1233">
        <f t="shared" si="13"/>
        <v>1.2102787166158044</v>
      </c>
      <c r="V32" s="1178">
        <v>8218.8353294039207</v>
      </c>
      <c r="W32" s="1179">
        <v>25.132138620999999</v>
      </c>
      <c r="X32" s="1339">
        <f t="shared" si="14"/>
        <v>1.2265087179790775</v>
      </c>
    </row>
    <row r="33" spans="1:24" ht="15.95" customHeight="1">
      <c r="A33" s="173"/>
      <c r="B33" s="108"/>
      <c r="C33" s="680" t="s">
        <v>318</v>
      </c>
      <c r="D33" s="263">
        <v>11247.179</v>
      </c>
      <c r="E33" s="262">
        <v>17.957000000000001</v>
      </c>
      <c r="F33" s="260">
        <f t="shared" si="9"/>
        <v>0.63342501841727517</v>
      </c>
      <c r="G33" s="263">
        <v>10748.51</v>
      </c>
      <c r="H33" s="262">
        <v>21.120999999999999</v>
      </c>
      <c r="I33" s="260">
        <f t="shared" si="10"/>
        <v>0.79032533627635626</v>
      </c>
      <c r="J33" s="265">
        <v>10803.755999999999</v>
      </c>
      <c r="K33" s="264">
        <v>22.318000000000001</v>
      </c>
      <c r="L33" s="758">
        <f t="shared" si="11"/>
        <v>0.83084536058113045</v>
      </c>
      <c r="M33" s="265">
        <v>8737.9480000000003</v>
      </c>
      <c r="N33" s="264">
        <v>20.393999999999998</v>
      </c>
      <c r="O33" s="758">
        <f t="shared" si="12"/>
        <v>0.92850921261963359</v>
      </c>
      <c r="P33" s="1156">
        <v>9868.7330000000002</v>
      </c>
      <c r="Q33" s="1157">
        <v>20.693999999999999</v>
      </c>
      <c r="R33" s="1034">
        <f t="shared" si="15"/>
        <v>0.83877028591208203</v>
      </c>
      <c r="S33" s="1234">
        <v>8584.0679999999993</v>
      </c>
      <c r="T33" s="1235">
        <v>25.298999999999999</v>
      </c>
      <c r="U33" s="1233">
        <f t="shared" si="13"/>
        <v>1.1952549770108998</v>
      </c>
      <c r="V33" s="1178">
        <v>8333.0780841316191</v>
      </c>
      <c r="W33" s="1179">
        <v>26.389173165999999</v>
      </c>
      <c r="X33" s="1339">
        <f t="shared" si="14"/>
        <v>1.2701991090119764</v>
      </c>
    </row>
    <row r="34" spans="1:24" ht="15.95" customHeight="1">
      <c r="A34" s="173"/>
      <c r="B34" s="108"/>
      <c r="C34" s="680" t="s">
        <v>319</v>
      </c>
      <c r="D34" s="265">
        <v>13445.308999999999</v>
      </c>
      <c r="E34" s="264">
        <v>99.07</v>
      </c>
      <c r="F34" s="260">
        <f t="shared" si="9"/>
        <v>2.9233203678825017</v>
      </c>
      <c r="G34" s="265">
        <v>13364.813</v>
      </c>
      <c r="H34" s="264">
        <v>96.228999999999999</v>
      </c>
      <c r="I34" s="260">
        <f t="shared" si="10"/>
        <v>2.895894787880108</v>
      </c>
      <c r="J34" s="265">
        <v>14202.465</v>
      </c>
      <c r="K34" s="264">
        <v>97.42</v>
      </c>
      <c r="L34" s="758">
        <f t="shared" si="11"/>
        <v>2.7588246047506466</v>
      </c>
      <c r="M34" s="265">
        <v>14767.839</v>
      </c>
      <c r="N34" s="264">
        <v>98.010999999999996</v>
      </c>
      <c r="O34" s="758">
        <f t="shared" si="12"/>
        <v>2.6402869511710989</v>
      </c>
      <c r="P34" s="1156">
        <v>14589.334000000001</v>
      </c>
      <c r="Q34" s="1157">
        <v>94.363</v>
      </c>
      <c r="R34" s="1034">
        <f t="shared" si="15"/>
        <v>2.5871777286063913</v>
      </c>
      <c r="S34" s="1234">
        <v>14790.45</v>
      </c>
      <c r="T34" s="1235">
        <v>90.242000000000004</v>
      </c>
      <c r="U34" s="1233">
        <f t="shared" si="13"/>
        <v>2.474444282928812</v>
      </c>
      <c r="V34" s="1178">
        <v>15963.0791036553</v>
      </c>
      <c r="W34" s="1179">
        <v>93.908105053</v>
      </c>
      <c r="X34" s="1339">
        <f t="shared" si="14"/>
        <v>2.3595972616845224</v>
      </c>
    </row>
    <row r="35" spans="1:24" ht="15.95" customHeight="1" thickBot="1">
      <c r="A35" s="173"/>
      <c r="B35" s="108"/>
      <c r="C35" s="678" t="s">
        <v>320</v>
      </c>
      <c r="D35" s="267">
        <v>4340.4040000000005</v>
      </c>
      <c r="E35" s="266">
        <v>30.067</v>
      </c>
      <c r="F35" s="260">
        <f>E35/D35*365/92*100</f>
        <v>2.7483053270577136</v>
      </c>
      <c r="G35" s="267">
        <v>4276.5150000000003</v>
      </c>
      <c r="H35" s="266">
        <v>27.190999999999999</v>
      </c>
      <c r="I35" s="260">
        <f>H35/G35*366/91*100</f>
        <v>2.5572599276655028</v>
      </c>
      <c r="J35" s="759">
        <v>3945.8380000000002</v>
      </c>
      <c r="K35" s="760">
        <v>24.95</v>
      </c>
      <c r="L35" s="758">
        <f>K35/J35*366/91*100</f>
        <v>2.5431442357327296</v>
      </c>
      <c r="M35" s="759">
        <v>3836.2629999999999</v>
      </c>
      <c r="N35" s="760">
        <v>24.533999999999999</v>
      </c>
      <c r="O35" s="758">
        <f>N35/M35*366/92*100</f>
        <v>2.5442117022194006</v>
      </c>
      <c r="P35" s="1158">
        <v>3747.3319999999999</v>
      </c>
      <c r="Q35" s="1159">
        <v>23.78</v>
      </c>
      <c r="R35" s="1034">
        <f t="shared" si="15"/>
        <v>2.5383392771176938</v>
      </c>
      <c r="S35" s="1236">
        <v>3715.7530000000002</v>
      </c>
      <c r="T35" s="1237">
        <v>27.988</v>
      </c>
      <c r="U35" s="1233">
        <f t="shared" si="13"/>
        <v>3.0547479579210162</v>
      </c>
      <c r="V35" s="1180">
        <v>3594.7612271333001</v>
      </c>
      <c r="W35" s="1181">
        <v>26.502066613</v>
      </c>
      <c r="X35" s="1339">
        <f t="shared" si="14"/>
        <v>2.9570669993570617</v>
      </c>
    </row>
    <row r="36" spans="1:24" ht="15.95" customHeight="1">
      <c r="A36" s="173"/>
      <c r="B36" s="108"/>
      <c r="C36" s="699" t="s">
        <v>321</v>
      </c>
      <c r="D36" s="761" t="s">
        <v>2</v>
      </c>
      <c r="E36" s="762" t="s">
        <v>2</v>
      </c>
      <c r="F36" s="268">
        <f>F26-F29</f>
        <v>1.3661524898950452</v>
      </c>
      <c r="G36" s="761" t="s">
        <v>2</v>
      </c>
      <c r="H36" s="762" t="s">
        <v>2</v>
      </c>
      <c r="I36" s="268">
        <f>I26-I29</f>
        <v>1.4034186805298585</v>
      </c>
      <c r="J36" s="761" t="s">
        <v>2</v>
      </c>
      <c r="K36" s="762" t="s">
        <v>2</v>
      </c>
      <c r="L36" s="763">
        <f>L26-L29</f>
        <v>1.3953519286882945</v>
      </c>
      <c r="M36" s="761" t="s">
        <v>2</v>
      </c>
      <c r="N36" s="762" t="s">
        <v>2</v>
      </c>
      <c r="O36" s="763">
        <f>O26-O29</f>
        <v>1.3846244800703782</v>
      </c>
      <c r="P36" s="1160" t="s">
        <v>2</v>
      </c>
      <c r="Q36" s="1161" t="s">
        <v>2</v>
      </c>
      <c r="R36" s="1035">
        <f>R26-R29</f>
        <v>1.3456886343869288</v>
      </c>
      <c r="S36" s="1238" t="s">
        <v>2</v>
      </c>
      <c r="T36" s="1239" t="s">
        <v>2</v>
      </c>
      <c r="U36" s="1240">
        <f>U26-U29</f>
        <v>1.4106833580808396</v>
      </c>
      <c r="V36" s="1182" t="s">
        <v>553</v>
      </c>
      <c r="W36" s="1183" t="s">
        <v>554</v>
      </c>
      <c r="X36" s="1340">
        <f>X26-X29</f>
        <v>1.426606444798237</v>
      </c>
    </row>
    <row r="37" spans="1:24" ht="15.95" customHeight="1">
      <c r="A37" s="173"/>
      <c r="B37" s="108"/>
      <c r="C37" s="700" t="s">
        <v>322</v>
      </c>
      <c r="D37" s="271" t="s">
        <v>2</v>
      </c>
      <c r="E37" s="269" t="s">
        <v>2</v>
      </c>
      <c r="F37" s="270">
        <f>F27-F30</f>
        <v>1.690528591419215</v>
      </c>
      <c r="G37" s="271" t="s">
        <v>2</v>
      </c>
      <c r="H37" s="269" t="s">
        <v>2</v>
      </c>
      <c r="I37" s="270">
        <f>I27-I30</f>
        <v>1.7238317938388625</v>
      </c>
      <c r="J37" s="271" t="s">
        <v>2</v>
      </c>
      <c r="K37" s="269" t="s">
        <v>2</v>
      </c>
      <c r="L37" s="270">
        <f>L27-L30</f>
        <v>1.7224772589303377</v>
      </c>
      <c r="M37" s="271" t="s">
        <v>2</v>
      </c>
      <c r="N37" s="269" t="s">
        <v>2</v>
      </c>
      <c r="O37" s="270">
        <f>O27-O30</f>
        <v>1.6909299049037139</v>
      </c>
      <c r="P37" s="1162" t="s">
        <v>2</v>
      </c>
      <c r="Q37" s="1163" t="s">
        <v>2</v>
      </c>
      <c r="R37" s="1036">
        <f>R27-R30</f>
        <v>1.6695204492789846</v>
      </c>
      <c r="S37" s="1241" t="s">
        <v>2</v>
      </c>
      <c r="T37" s="1242" t="s">
        <v>2</v>
      </c>
      <c r="U37" s="1243">
        <f>U27-U30</f>
        <v>1.7407593263024104</v>
      </c>
      <c r="V37" s="1184" t="s">
        <v>553</v>
      </c>
      <c r="W37" s="1185" t="s">
        <v>553</v>
      </c>
      <c r="X37" s="1341">
        <f>X27-X30</f>
        <v>1.7519009687245328</v>
      </c>
    </row>
    <row r="38" spans="1:24" ht="15.95" customHeight="1">
      <c r="A38" s="173"/>
      <c r="B38" s="108"/>
      <c r="C38" s="700" t="s">
        <v>323</v>
      </c>
      <c r="D38" s="271" t="s">
        <v>2</v>
      </c>
      <c r="E38" s="269" t="s">
        <v>2</v>
      </c>
      <c r="F38" s="270">
        <f>F28-F31</f>
        <v>1.0795438640867396</v>
      </c>
      <c r="G38" s="271" t="s">
        <v>2</v>
      </c>
      <c r="H38" s="269" t="s">
        <v>2</v>
      </c>
      <c r="I38" s="270">
        <f>I28-I31</f>
        <v>1.1997258297827276</v>
      </c>
      <c r="J38" s="271" t="s">
        <v>2</v>
      </c>
      <c r="K38" s="269" t="s">
        <v>2</v>
      </c>
      <c r="L38" s="270">
        <f>L28-L31</f>
        <v>1.124869768212998</v>
      </c>
      <c r="M38" s="271" t="s">
        <v>2</v>
      </c>
      <c r="N38" s="269" t="s">
        <v>2</v>
      </c>
      <c r="O38" s="270">
        <f>O28-O31</f>
        <v>1.3714934502183429</v>
      </c>
      <c r="P38" s="1162" t="s">
        <v>2</v>
      </c>
      <c r="Q38" s="1163" t="s">
        <v>2</v>
      </c>
      <c r="R38" s="1036">
        <f>R28-R31</f>
        <v>1.2689662526944812</v>
      </c>
      <c r="S38" s="1241" t="s">
        <v>2</v>
      </c>
      <c r="T38" s="1242" t="s">
        <v>2</v>
      </c>
      <c r="U38" s="1243">
        <f>U28-U31</f>
        <v>1.503350093028069</v>
      </c>
      <c r="V38" s="1184" t="s">
        <v>553</v>
      </c>
      <c r="W38" s="1185" t="s">
        <v>553</v>
      </c>
      <c r="X38" s="1341">
        <f>X28-X31</f>
        <v>1.6017192139413332</v>
      </c>
    </row>
    <row r="39" spans="1:24" ht="15.95" customHeight="1">
      <c r="A39" s="173"/>
      <c r="B39" s="108"/>
      <c r="C39" s="701" t="s">
        <v>324</v>
      </c>
      <c r="D39" s="274">
        <v>244193.57399999999</v>
      </c>
      <c r="E39" s="272">
        <v>861.70600000000002</v>
      </c>
      <c r="F39" s="273">
        <f>E39/D39*365/92*100</f>
        <v>1.4000060834132955</v>
      </c>
      <c r="G39" s="274">
        <v>247442.196</v>
      </c>
      <c r="H39" s="272">
        <v>884.02200000000005</v>
      </c>
      <c r="I39" s="273">
        <f>H39/G39*366/91*100</f>
        <v>1.4369081395256671</v>
      </c>
      <c r="J39" s="274">
        <v>251271.087</v>
      </c>
      <c r="K39" s="272">
        <v>884.82199999999989</v>
      </c>
      <c r="L39" s="273">
        <f>K39/J39*366/91*100</f>
        <v>1.4162929288249695</v>
      </c>
      <c r="M39" s="274">
        <v>251373.823</v>
      </c>
      <c r="N39" s="272">
        <v>890.46299999999997</v>
      </c>
      <c r="O39" s="273">
        <f>N39/M39*366/92*100</f>
        <v>1.4092533846277429</v>
      </c>
      <c r="P39" s="1164">
        <v>256510.617</v>
      </c>
      <c r="Q39" s="1165">
        <v>879.81299999999999</v>
      </c>
      <c r="R39" s="1037">
        <f t="shared" ref="R39:R41" si="16">Q39/P39*4*100</f>
        <v>1.3719712817968857</v>
      </c>
      <c r="S39" s="1244">
        <v>251987.264</v>
      </c>
      <c r="T39" s="1245">
        <v>892.26099999999997</v>
      </c>
      <c r="U39" s="1233">
        <f t="shared" ref="U39:U41" si="17">T39/S39*365/90*100</f>
        <v>1.436030535081152</v>
      </c>
      <c r="V39" s="1186">
        <v>253419.48017360101</v>
      </c>
      <c r="W39" s="1187">
        <v>914.77426448300002</v>
      </c>
      <c r="X39" s="1339">
        <f>W39/V39*365/91*100</f>
        <v>1.4478561473898435</v>
      </c>
    </row>
    <row r="40" spans="1:24" ht="15.95" customHeight="1">
      <c r="A40" s="173"/>
      <c r="B40" s="108"/>
      <c r="C40" s="700" t="s">
        <v>325</v>
      </c>
      <c r="D40" s="274">
        <v>216220.75099999999</v>
      </c>
      <c r="E40" s="272">
        <v>829.75099999999998</v>
      </c>
      <c r="F40" s="273">
        <f>E40/D40*365/92*100</f>
        <v>1.5224935104281054</v>
      </c>
      <c r="G40" s="274">
        <v>220129.234</v>
      </c>
      <c r="H40" s="272">
        <v>846.32140000000004</v>
      </c>
      <c r="I40" s="273">
        <f>H40/G40*366/91*100</f>
        <v>1.5463125948685537</v>
      </c>
      <c r="J40" s="274">
        <v>223120.992</v>
      </c>
      <c r="K40" s="272">
        <v>848.97</v>
      </c>
      <c r="L40" s="273">
        <f>K40/J40*366/91*100</f>
        <v>1.5303529491831416</v>
      </c>
      <c r="M40" s="274">
        <v>225105.11499999999</v>
      </c>
      <c r="N40" s="272">
        <v>845.178</v>
      </c>
      <c r="O40" s="273">
        <f>N40/M40*366/92*100</f>
        <v>1.4936748839391727</v>
      </c>
      <c r="P40" s="1164">
        <v>228124.772</v>
      </c>
      <c r="Q40" s="1165">
        <v>829.97500000000002</v>
      </c>
      <c r="R40" s="1037">
        <f t="shared" si="16"/>
        <v>1.4553000846396462</v>
      </c>
      <c r="S40" s="1244">
        <v>226327.158</v>
      </c>
      <c r="T40" s="1245">
        <v>849.59299999999996</v>
      </c>
      <c r="U40" s="1233">
        <f t="shared" si="17"/>
        <v>1.5223854006557669</v>
      </c>
      <c r="V40" s="1186">
        <v>228574.94211428601</v>
      </c>
      <c r="W40" s="1187">
        <v>868.68457890800005</v>
      </c>
      <c r="X40" s="1339">
        <f t="shared" ref="X40:X41" si="18">W40/V40*365/91*100</f>
        <v>1.5243509493151199</v>
      </c>
    </row>
    <row r="41" spans="1:24" ht="15.95" customHeight="1" thickBot="1">
      <c r="A41" s="173"/>
      <c r="B41" s="108"/>
      <c r="C41" s="678" t="s">
        <v>326</v>
      </c>
      <c r="D41" s="277">
        <v>27972.823</v>
      </c>
      <c r="E41" s="275">
        <v>31.954000000000001</v>
      </c>
      <c r="F41" s="276">
        <f>E41/D41*365/92*100</f>
        <v>0.45320424663299241</v>
      </c>
      <c r="G41" s="277">
        <v>27312.962</v>
      </c>
      <c r="H41" s="275">
        <v>37.643000000000001</v>
      </c>
      <c r="I41" s="276">
        <f>H41/G41*366/91*100</f>
        <v>0.55431307187158496</v>
      </c>
      <c r="J41" s="764">
        <v>28150.095000000001</v>
      </c>
      <c r="K41" s="765">
        <v>35.850999999999999</v>
      </c>
      <c r="L41" s="922">
        <f>K41/J41*366/91*100</f>
        <v>0.51222539059258609</v>
      </c>
      <c r="M41" s="764">
        <v>26268.707999999999</v>
      </c>
      <c r="N41" s="765">
        <v>45.284999999999997</v>
      </c>
      <c r="O41" s="922">
        <f>N41/M41*366/92*100</f>
        <v>0.68581805956448583</v>
      </c>
      <c r="P41" s="1166">
        <v>28385.845000000001</v>
      </c>
      <c r="Q41" s="1167">
        <v>49.838000000000001</v>
      </c>
      <c r="R41" s="1039">
        <f t="shared" si="16"/>
        <v>0.70229369603053915</v>
      </c>
      <c r="S41" s="1246">
        <v>25660.106</v>
      </c>
      <c r="T41" s="1247">
        <v>42.668700000000001</v>
      </c>
      <c r="U41" s="1248">
        <f t="shared" si="17"/>
        <v>0.67437477979761018</v>
      </c>
      <c r="V41" s="1188">
        <v>24844.538059314898</v>
      </c>
      <c r="W41" s="1189">
        <v>46.089685574999997</v>
      </c>
      <c r="X41" s="1343">
        <f t="shared" si="18"/>
        <v>0.74408798392591835</v>
      </c>
    </row>
    <row r="42" spans="1:24" ht="9" customHeight="1">
      <c r="A42" s="173"/>
      <c r="B42" s="108"/>
      <c r="C42" s="516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</row>
    <row r="43" spans="1:24">
      <c r="A43" s="188"/>
      <c r="B43" s="189"/>
      <c r="C43" s="201" t="s">
        <v>164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</row>
    <row r="44" spans="1:24">
      <c r="A44" s="188"/>
      <c r="B44" s="189"/>
      <c r="C44" s="496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</row>
    <row r="45" spans="1:24">
      <c r="A45" s="188"/>
      <c r="B45" s="189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</row>
    <row r="46" spans="1:24">
      <c r="A46" s="189"/>
      <c r="B46" s="189"/>
      <c r="C46" s="199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</row>
    <row r="47" spans="1:24">
      <c r="A47" s="189"/>
      <c r="B47" s="189"/>
      <c r="C47" s="199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</row>
    <row r="48" spans="1:24">
      <c r="A48" s="189"/>
      <c r="B48" s="189"/>
      <c r="C48" s="442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</row>
    <row r="49" spans="1:24">
      <c r="A49" s="189"/>
      <c r="B49" s="189"/>
      <c r="C49" s="199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</row>
    <row r="50" spans="1:24">
      <c r="A50" s="189"/>
      <c r="B50" s="189"/>
      <c r="C50" s="199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</row>
    <row r="51" spans="1:24">
      <c r="A51" s="189"/>
      <c r="B51" s="189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</row>
    <row r="52" spans="1:24">
      <c r="A52" s="189"/>
      <c r="B52" s="189"/>
      <c r="C52" s="442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</row>
    <row r="53" spans="1:24">
      <c r="A53" s="189"/>
      <c r="B53" s="189"/>
      <c r="C53" s="199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</row>
    <row r="54" spans="1:24">
      <c r="A54" s="189"/>
      <c r="B54" s="189"/>
      <c r="C54" s="199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</row>
    <row r="55" spans="1:24">
      <c r="A55" s="189"/>
      <c r="B55" s="189"/>
      <c r="C55" s="199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</row>
    <row r="56" spans="1:24">
      <c r="A56" s="189"/>
      <c r="B56" s="189"/>
      <c r="C56" s="201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</row>
    <row r="57" spans="1:24">
      <c r="A57" s="189"/>
      <c r="B57" s="189"/>
      <c r="C57" s="443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</row>
    <row r="58" spans="1:24">
      <c r="A58" s="189"/>
      <c r="B58" s="189"/>
      <c r="C58" s="443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</row>
    <row r="59" spans="1:24">
      <c r="A59" s="27"/>
      <c r="B59" s="27"/>
      <c r="C59" s="443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19.5">
      <c r="A61" s="27"/>
      <c r="B61" s="27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921"/>
      <c r="Q61" s="921"/>
      <c r="R61" s="921"/>
      <c r="S61" s="923"/>
      <c r="T61" s="923"/>
      <c r="U61" s="923"/>
      <c r="V61" s="204"/>
      <c r="W61" s="204"/>
      <c r="X61" s="204"/>
    </row>
    <row r="62" spans="1:2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ht="18">
      <c r="A64" s="27"/>
      <c r="B64" s="27"/>
      <c r="C64" s="205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</row>
    <row r="65" spans="1:24" ht="15.75">
      <c r="A65" s="27"/>
      <c r="B65" s="27"/>
      <c r="C65" s="444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</row>
    <row r="66" spans="1:24">
      <c r="A66" s="189"/>
      <c r="B66" s="189"/>
      <c r="C66" s="209"/>
      <c r="D66" s="440"/>
      <c r="E66" s="440"/>
      <c r="F66" s="440"/>
      <c r="G66" s="440"/>
      <c r="H66" s="440"/>
      <c r="I66" s="440"/>
      <c r="J66" s="440"/>
      <c r="K66" s="440"/>
      <c r="L66" s="440"/>
      <c r="M66" s="440"/>
      <c r="N66" s="440"/>
      <c r="O66" s="440"/>
      <c r="P66" s="440"/>
      <c r="Q66" s="440"/>
      <c r="R66" s="440"/>
      <c r="S66" s="440"/>
      <c r="T66" s="440"/>
      <c r="U66" s="440"/>
      <c r="V66" s="440"/>
      <c r="W66" s="440"/>
      <c r="X66" s="440"/>
    </row>
    <row r="67" spans="1:24">
      <c r="A67" s="189"/>
      <c r="B67" s="189"/>
      <c r="C67" s="441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</row>
    <row r="68" spans="1:24">
      <c r="A68" s="189"/>
      <c r="B68" s="189"/>
      <c r="C68" s="199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</row>
    <row r="69" spans="1:24">
      <c r="A69" s="189"/>
      <c r="B69" s="189"/>
      <c r="C69" s="199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</row>
    <row r="70" spans="1:24">
      <c r="A70" s="189"/>
      <c r="B70" s="189"/>
      <c r="C70" s="199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</row>
    <row r="71" spans="1:24">
      <c r="A71" s="189"/>
      <c r="B71" s="189"/>
      <c r="C71" s="199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</row>
    <row r="72" spans="1:24">
      <c r="A72" s="189"/>
      <c r="B72" s="189"/>
      <c r="C72" s="199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</row>
    <row r="73" spans="1:24">
      <c r="A73" s="189"/>
      <c r="B73" s="189"/>
      <c r="C73" s="442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</row>
    <row r="74" spans="1:24">
      <c r="A74" s="189"/>
      <c r="B74" s="189"/>
      <c r="C74" s="199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</row>
    <row r="75" spans="1:24">
      <c r="A75" s="189"/>
      <c r="B75" s="189"/>
      <c r="C75" s="199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</row>
    <row r="76" spans="1:24">
      <c r="A76" s="189"/>
      <c r="B76" s="189"/>
      <c r="C76" s="199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</row>
    <row r="77" spans="1:24">
      <c r="A77" s="189"/>
      <c r="B77" s="189"/>
      <c r="C77" s="442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</row>
    <row r="78" spans="1:24">
      <c r="A78" s="189"/>
      <c r="B78" s="189"/>
      <c r="C78" s="199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</row>
    <row r="79" spans="1:24">
      <c r="A79" s="189"/>
      <c r="B79" s="189"/>
      <c r="C79" s="199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</row>
    <row r="80" spans="1:24">
      <c r="A80" s="189"/>
      <c r="B80" s="189"/>
      <c r="C80" s="199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</row>
    <row r="81" spans="1:24">
      <c r="A81" s="189"/>
      <c r="B81" s="189"/>
      <c r="C81" s="199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</row>
    <row r="82" spans="1:24">
      <c r="A82" s="189"/>
      <c r="B82" s="189"/>
      <c r="C82" s="199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</row>
    <row r="83" spans="1:24">
      <c r="A83" s="189"/>
      <c r="B83" s="189"/>
      <c r="C83" s="201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</row>
    <row r="84" spans="1:24" ht="15.75">
      <c r="A84" s="27"/>
      <c r="B84" s="27"/>
      <c r="C84" s="444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</row>
    <row r="85" spans="1:24">
      <c r="A85" s="189"/>
      <c r="B85" s="189"/>
      <c r="C85" s="209"/>
      <c r="D85" s="440"/>
      <c r="E85" s="440"/>
      <c r="F85" s="440"/>
      <c r="G85" s="440"/>
      <c r="H85" s="440"/>
      <c r="I85" s="440"/>
      <c r="J85" s="440"/>
      <c r="K85" s="440"/>
      <c r="L85" s="440"/>
      <c r="M85" s="440"/>
      <c r="N85" s="440"/>
      <c r="O85" s="440"/>
      <c r="P85" s="440"/>
      <c r="Q85" s="440"/>
      <c r="R85" s="440"/>
      <c r="S85" s="440"/>
      <c r="T85" s="440"/>
      <c r="U85" s="440"/>
      <c r="V85" s="440"/>
      <c r="W85" s="440"/>
      <c r="X85" s="440"/>
    </row>
    <row r="86" spans="1:24">
      <c r="A86" s="189"/>
      <c r="B86" s="189"/>
      <c r="C86" s="441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</row>
    <row r="87" spans="1:24">
      <c r="A87" s="189"/>
      <c r="B87" s="189"/>
      <c r="C87" s="199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</row>
    <row r="88" spans="1:24">
      <c r="A88" s="189"/>
      <c r="B88" s="189"/>
      <c r="C88" s="199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</row>
    <row r="89" spans="1:24">
      <c r="A89" s="189"/>
      <c r="B89" s="189"/>
      <c r="C89" s="199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</row>
    <row r="90" spans="1:24">
      <c r="A90" s="189"/>
      <c r="B90" s="189"/>
      <c r="C90" s="199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</row>
    <row r="91" spans="1:24">
      <c r="A91" s="189"/>
      <c r="B91" s="189"/>
      <c r="C91" s="199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</row>
    <row r="92" spans="1:24">
      <c r="A92" s="189"/>
      <c r="B92" s="189"/>
      <c r="C92" s="442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</row>
    <row r="93" spans="1:24">
      <c r="A93" s="189"/>
      <c r="B93" s="189"/>
      <c r="C93" s="199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</row>
    <row r="94" spans="1:24">
      <c r="A94" s="189"/>
      <c r="B94" s="189"/>
      <c r="C94" s="199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</row>
    <row r="95" spans="1:24">
      <c r="A95" s="189"/>
      <c r="B95" s="189"/>
      <c r="C95" s="199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</row>
    <row r="96" spans="1:24">
      <c r="A96" s="189"/>
      <c r="B96" s="189"/>
      <c r="C96" s="442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</row>
    <row r="97" spans="1:24">
      <c r="A97" s="189"/>
      <c r="B97" s="189"/>
      <c r="C97" s="199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</row>
    <row r="98" spans="1:24">
      <c r="A98" s="189"/>
      <c r="B98" s="189"/>
      <c r="C98" s="199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</row>
    <row r="99" spans="1:24">
      <c r="A99" s="189"/>
      <c r="B99" s="189"/>
      <c r="C99" s="199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</row>
    <row r="100" spans="1:24">
      <c r="A100" s="189"/>
      <c r="B100" s="189"/>
      <c r="C100" s="201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</row>
    <row r="101" spans="1:24">
      <c r="A101" s="189"/>
      <c r="B101" s="189"/>
      <c r="C101" s="443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</row>
    <row r="102" spans="1:24">
      <c r="A102" s="189"/>
      <c r="B102" s="189"/>
      <c r="C102" s="443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</row>
    <row r="103" spans="1:24">
      <c r="A103" s="27"/>
      <c r="B103" s="27"/>
      <c r="C103" s="443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</sheetData>
  <mergeCells count="14">
    <mergeCell ref="S4:U4"/>
    <mergeCell ref="S24:U24"/>
    <mergeCell ref="V4:X4"/>
    <mergeCell ref="V24:X24"/>
    <mergeCell ref="D24:F24"/>
    <mergeCell ref="G24:I24"/>
    <mergeCell ref="G4:I4"/>
    <mergeCell ref="D4:F4"/>
    <mergeCell ref="J4:L4"/>
    <mergeCell ref="M4:O4"/>
    <mergeCell ref="P4:R4"/>
    <mergeCell ref="P24:R24"/>
    <mergeCell ref="M24:O24"/>
    <mergeCell ref="J24:L24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view="pageBreakPreview" zoomScale="80" zoomScaleNormal="90" zoomScaleSheetLayoutView="80" workbookViewId="0">
      <selection activeCell="D3" sqref="D3"/>
    </sheetView>
  </sheetViews>
  <sheetFormatPr defaultRowHeight="15"/>
  <cols>
    <col min="1" max="1" width="20.5703125" style="77" customWidth="1"/>
    <col min="2" max="2" width="2.7109375" style="77" customWidth="1"/>
    <col min="3" max="3" width="21.5703125" style="77" customWidth="1"/>
    <col min="4" max="14" width="9.140625" style="77" customWidth="1"/>
    <col min="15" max="15" width="9" style="77" customWidth="1"/>
    <col min="16" max="16" width="9.140625" style="77" customWidth="1"/>
    <col min="17" max="17" width="9" style="77" customWidth="1"/>
    <col min="18" max="18" width="1.42578125" style="77" customWidth="1"/>
    <col min="19" max="19" width="9.140625" style="77" customWidth="1"/>
    <col min="20" max="20" width="8.7109375" style="77" customWidth="1"/>
    <col min="21" max="21" width="1.42578125" style="77" customWidth="1"/>
    <col min="22" max="23" width="9.140625" style="77" customWidth="1"/>
    <col min="24" max="24" width="2.28515625" style="77" customWidth="1"/>
    <col min="25" max="26" width="9.140625" style="77"/>
    <col min="27" max="27" width="12.7109375" style="77" bestFit="1" customWidth="1"/>
    <col min="28" max="16384" width="9.140625" style="77"/>
  </cols>
  <sheetData>
    <row r="1" spans="1:24" s="282" customFormat="1" ht="30" customHeight="1">
      <c r="A1" s="813"/>
      <c r="B1" s="281"/>
      <c r="C1" s="1431" t="s">
        <v>431</v>
      </c>
      <c r="D1" s="1432"/>
      <c r="E1" s="1432"/>
      <c r="F1" s="1432"/>
      <c r="G1" s="1432"/>
      <c r="H1" s="1432"/>
      <c r="I1" s="1432"/>
      <c r="J1" s="1432"/>
      <c r="K1" s="1432"/>
      <c r="L1" s="1432"/>
      <c r="M1" s="1432"/>
      <c r="N1" s="1432"/>
      <c r="O1" s="1432"/>
      <c r="P1" s="1432"/>
      <c r="Q1" s="1432"/>
      <c r="R1" s="1432"/>
      <c r="S1" s="1432"/>
      <c r="T1" s="1432"/>
      <c r="U1" s="1432"/>
      <c r="V1" s="1432"/>
      <c r="W1" s="562"/>
      <c r="X1" s="562"/>
    </row>
    <row r="2" spans="1:24" ht="18">
      <c r="A2" s="168"/>
      <c r="C2" s="561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</row>
    <row r="3" spans="1:24" ht="18">
      <c r="A3" s="168"/>
      <c r="C3" s="170"/>
    </row>
    <row r="4" spans="1:24" ht="27.75" customHeight="1">
      <c r="A4" s="168"/>
      <c r="C4" s="629"/>
      <c r="D4" s="172"/>
      <c r="F4" s="172"/>
      <c r="H4" s="172"/>
      <c r="J4" s="172"/>
      <c r="L4" s="172"/>
      <c r="N4" s="172"/>
      <c r="P4" s="172"/>
      <c r="S4" s="172"/>
      <c r="V4" s="172"/>
    </row>
    <row r="5" spans="1:24" ht="17.25">
      <c r="A5" s="168"/>
      <c r="C5" s="629"/>
      <c r="D5" s="172"/>
      <c r="F5" s="172"/>
      <c r="H5" s="172"/>
      <c r="J5" s="172"/>
      <c r="L5" s="172"/>
      <c r="N5" s="172"/>
      <c r="P5" s="172"/>
      <c r="S5" s="172"/>
      <c r="V5" s="172"/>
    </row>
    <row r="6" spans="1:24" s="108" customFormat="1" ht="24" customHeight="1">
      <c r="A6" s="173"/>
      <c r="C6" s="284" t="s">
        <v>3</v>
      </c>
      <c r="D6" s="1415" t="s">
        <v>541</v>
      </c>
      <c r="E6" s="1415"/>
      <c r="F6" s="1415" t="s">
        <v>542</v>
      </c>
      <c r="G6" s="1415"/>
      <c r="H6" s="1415" t="s">
        <v>543</v>
      </c>
      <c r="I6" s="1415"/>
      <c r="J6" s="1415" t="s">
        <v>544</v>
      </c>
      <c r="K6" s="1415"/>
      <c r="L6" s="1415" t="s">
        <v>545</v>
      </c>
      <c r="M6" s="1415"/>
      <c r="N6" s="1415" t="s">
        <v>546</v>
      </c>
      <c r="O6" s="1415"/>
      <c r="P6" s="1415" t="s">
        <v>547</v>
      </c>
      <c r="Q6" s="1415"/>
      <c r="R6" s="1357"/>
      <c r="S6" s="1415" t="s">
        <v>548</v>
      </c>
      <c r="T6" s="1415"/>
      <c r="U6" s="1415"/>
      <c r="V6" s="1415" t="s">
        <v>502</v>
      </c>
      <c r="W6" s="1415"/>
    </row>
    <row r="7" spans="1:24" s="108" customFormat="1" ht="24" customHeight="1">
      <c r="A7" s="173"/>
      <c r="C7" s="497" t="s">
        <v>165</v>
      </c>
      <c r="D7" s="892" t="s">
        <v>187</v>
      </c>
      <c r="E7" s="893" t="s">
        <v>1</v>
      </c>
      <c r="F7" s="892" t="s">
        <v>468</v>
      </c>
      <c r="G7" s="893" t="s">
        <v>186</v>
      </c>
      <c r="H7" s="702" t="s">
        <v>187</v>
      </c>
      <c r="I7" s="933" t="s">
        <v>1</v>
      </c>
      <c r="J7" s="702" t="s">
        <v>187</v>
      </c>
      <c r="K7" s="702" t="s">
        <v>1</v>
      </c>
      <c r="L7" s="934" t="s">
        <v>187</v>
      </c>
      <c r="M7" s="933" t="s">
        <v>1</v>
      </c>
      <c r="N7" s="702" t="s">
        <v>187</v>
      </c>
      <c r="O7" s="702" t="s">
        <v>1</v>
      </c>
      <c r="P7" s="934" t="s">
        <v>187</v>
      </c>
      <c r="Q7" s="933" t="s">
        <v>1</v>
      </c>
      <c r="R7" s="702"/>
      <c r="S7" s="702" t="s">
        <v>187</v>
      </c>
      <c r="T7" s="702" t="s">
        <v>1</v>
      </c>
      <c r="U7" s="702"/>
      <c r="V7" s="934" t="s">
        <v>371</v>
      </c>
      <c r="W7" s="935" t="s">
        <v>1</v>
      </c>
    </row>
    <row r="8" spans="1:24" s="108" customFormat="1" ht="32.25" customHeight="1">
      <c r="A8" s="173"/>
      <c r="C8" s="680" t="s">
        <v>166</v>
      </c>
      <c r="D8" s="642">
        <v>208439.4</v>
      </c>
      <c r="E8" s="643">
        <f>D8/D13*100</f>
        <v>96.981576983419473</v>
      </c>
      <c r="F8" s="909">
        <v>217899.6</v>
      </c>
      <c r="G8" s="910">
        <f>F8/F13*100</f>
        <v>97.099833428249823</v>
      </c>
      <c r="H8" s="642">
        <v>217573.1</v>
      </c>
      <c r="I8" s="910">
        <f>H8/H13*100</f>
        <v>97.459032805559076</v>
      </c>
      <c r="J8" s="909">
        <v>221631.6</v>
      </c>
      <c r="K8" s="910">
        <f>J8/J13*100</f>
        <v>97.683262226296677</v>
      </c>
      <c r="L8" s="909">
        <v>226313.3</v>
      </c>
      <c r="M8" s="910">
        <f>L8/L13*100</f>
        <v>97.839740746408935</v>
      </c>
      <c r="N8" s="909">
        <v>223493</v>
      </c>
      <c r="O8" s="910">
        <f>N8/N13*100</f>
        <v>97.908417934404994</v>
      </c>
      <c r="P8" s="1103">
        <v>227039.5</v>
      </c>
      <c r="Q8" s="1040">
        <f>P8/P13*100</f>
        <v>98.188635384279792</v>
      </c>
      <c r="R8" s="1104"/>
      <c r="S8" s="1103">
        <v>226544.1</v>
      </c>
      <c r="T8" s="1040">
        <f>S8/S13*100</f>
        <v>98.355460813087205</v>
      </c>
      <c r="U8" s="1104"/>
      <c r="V8" s="1190">
        <v>228584.3</v>
      </c>
      <c r="W8" s="1191">
        <f>V8/V13*100</f>
        <v>98.370365333726951</v>
      </c>
    </row>
    <row r="9" spans="1:24" s="108" customFormat="1" ht="32.25" customHeight="1">
      <c r="A9" s="173"/>
      <c r="C9" s="680" t="s">
        <v>167</v>
      </c>
      <c r="D9" s="642">
        <v>2780.5</v>
      </c>
      <c r="E9" s="643">
        <f>D9/D13*100</f>
        <v>1.2936962724053027</v>
      </c>
      <c r="F9" s="909">
        <v>2804.8</v>
      </c>
      <c r="G9" s="910">
        <f>F9/F13*100</f>
        <v>1.2498674288505125</v>
      </c>
      <c r="H9" s="642">
        <v>2374.3000000000002</v>
      </c>
      <c r="I9" s="910">
        <f>H9/H13*100</f>
        <v>1.0635367220958791</v>
      </c>
      <c r="J9" s="909">
        <v>2100.6999999999998</v>
      </c>
      <c r="K9" s="910">
        <f>J9/J13*100</f>
        <v>0.92587532174464926</v>
      </c>
      <c r="L9" s="909">
        <v>2168</v>
      </c>
      <c r="M9" s="910">
        <f>L9/L13*100</f>
        <v>0.9372695194591506</v>
      </c>
      <c r="N9" s="909">
        <v>2328.1</v>
      </c>
      <c r="O9" s="910">
        <f>N9/N13*100</f>
        <v>1.0199003449463218</v>
      </c>
      <c r="P9" s="1103">
        <v>1906.4</v>
      </c>
      <c r="Q9" s="1040">
        <f>P9/P13*100</f>
        <v>0.8244680529008872</v>
      </c>
      <c r="R9" s="1104"/>
      <c r="S9" s="1103">
        <v>1780.8</v>
      </c>
      <c r="T9" s="1040">
        <f>S9/S13*100</f>
        <v>0.77314485177917092</v>
      </c>
      <c r="U9" s="1104"/>
      <c r="V9" s="1190">
        <v>1804.6</v>
      </c>
      <c r="W9" s="1191">
        <f>V9/V13*100</f>
        <v>0.77660259817163146</v>
      </c>
    </row>
    <row r="10" spans="1:24" s="108" customFormat="1" ht="32.25" customHeight="1">
      <c r="A10" s="173"/>
      <c r="C10" s="680" t="s">
        <v>168</v>
      </c>
      <c r="D10" s="642">
        <v>2207.6</v>
      </c>
      <c r="E10" s="643">
        <f>D10/D13*100</f>
        <v>1.0271404031512124</v>
      </c>
      <c r="F10" s="909">
        <v>1986.4</v>
      </c>
      <c r="G10" s="910">
        <f>F10/F13*100</f>
        <v>0.88517422299937887</v>
      </c>
      <c r="H10" s="642">
        <v>1555.2</v>
      </c>
      <c r="I10" s="910">
        <f>H10/H13*100</f>
        <v>0.6966315588609322</v>
      </c>
      <c r="J10" s="909">
        <v>1383.8</v>
      </c>
      <c r="K10" s="910">
        <f>J10/J13*100</f>
        <v>0.60990444624660622</v>
      </c>
      <c r="L10" s="909">
        <v>1218.9000000000001</v>
      </c>
      <c r="M10" s="910">
        <f>L10/L13*100</f>
        <v>0.52695471276234263</v>
      </c>
      <c r="N10" s="909">
        <v>1032.7</v>
      </c>
      <c r="O10" s="910">
        <f>N10/N13*100</f>
        <v>0.45240800920324142</v>
      </c>
      <c r="P10" s="1103">
        <v>885.43999999999994</v>
      </c>
      <c r="Q10" s="1040">
        <f>P10/P13*100</f>
        <v>0.38292960174179685</v>
      </c>
      <c r="R10" s="1104"/>
      <c r="S10" s="1103">
        <v>793.9</v>
      </c>
      <c r="T10" s="1040">
        <f>S10/S13*100</f>
        <v>0.34467638018165087</v>
      </c>
      <c r="U10" s="1104"/>
      <c r="V10" s="1190">
        <v>794.5</v>
      </c>
      <c r="W10" s="1191">
        <f>V10/V13*100</f>
        <v>0.3419099879460053</v>
      </c>
    </row>
    <row r="11" spans="1:24" s="108" customFormat="1" ht="32.25" customHeight="1">
      <c r="A11" s="173"/>
      <c r="C11" s="680" t="s">
        <v>169</v>
      </c>
      <c r="D11" s="642">
        <v>442</v>
      </c>
      <c r="E11" s="643">
        <f>D11/D13*100</f>
        <v>0.20565141248090049</v>
      </c>
      <c r="F11" s="909">
        <v>657.4</v>
      </c>
      <c r="G11" s="910">
        <f>F11/F13*100</f>
        <v>0.29294881906956888</v>
      </c>
      <c r="H11" s="642">
        <v>750.5</v>
      </c>
      <c r="I11" s="910">
        <f>H11/H13*100</f>
        <v>0.33617668783766047</v>
      </c>
      <c r="J11" s="909">
        <v>938.6</v>
      </c>
      <c r="K11" s="910">
        <f>J11/J13*100</f>
        <v>0.41368428475723706</v>
      </c>
      <c r="L11" s="909">
        <v>995.2</v>
      </c>
      <c r="M11" s="910">
        <f>L11/L13*100</f>
        <v>0.43024475358198649</v>
      </c>
      <c r="N11" s="909">
        <v>858</v>
      </c>
      <c r="O11" s="910">
        <f>N11/N13*100</f>
        <v>0.37587496068207721</v>
      </c>
      <c r="P11" s="1103">
        <v>911.83999999999992</v>
      </c>
      <c r="Q11" s="1040">
        <f>P11/P13*100</f>
        <v>0.39434691006984102</v>
      </c>
      <c r="R11" s="1104"/>
      <c r="S11" s="1103">
        <v>746</v>
      </c>
      <c r="T11" s="1040">
        <f>S11/S13*100</f>
        <v>0.32388031189760863</v>
      </c>
      <c r="U11" s="1104"/>
      <c r="V11" s="1190">
        <v>761.6</v>
      </c>
      <c r="W11" s="1191">
        <f>V11/V13*100</f>
        <v>0.3277516007799593</v>
      </c>
    </row>
    <row r="12" spans="1:24" s="108" customFormat="1" ht="32.25" customHeight="1">
      <c r="A12" s="173"/>
      <c r="C12" s="680" t="s">
        <v>170</v>
      </c>
      <c r="D12" s="642">
        <v>1057.3</v>
      </c>
      <c r="E12" s="643">
        <f>D12/D13*100</f>
        <v>0.49193492854311327</v>
      </c>
      <c r="F12" s="909">
        <v>1059.5999999999999</v>
      </c>
      <c r="G12" s="910">
        <f>F12/F13*100</f>
        <v>0.47217610083071976</v>
      </c>
      <c r="H12" s="642">
        <v>992.6</v>
      </c>
      <c r="I12" s="910">
        <f>H12/H13*100</f>
        <v>0.44462222564645143</v>
      </c>
      <c r="J12" s="909">
        <v>833.3</v>
      </c>
      <c r="K12" s="910">
        <f>J12/J13*100</f>
        <v>0.36727372095483235</v>
      </c>
      <c r="L12" s="909">
        <v>614.79999999999995</v>
      </c>
      <c r="M12" s="910">
        <f>L12/L13*100</f>
        <v>0.26579026778758569</v>
      </c>
      <c r="N12" s="909">
        <v>555.6</v>
      </c>
      <c r="O12" s="910">
        <f>N12/N13*100</f>
        <v>0.2433987507633591</v>
      </c>
      <c r="P12" s="1103">
        <v>484.7</v>
      </c>
      <c r="Q12" s="1040">
        <f>P12/P13*100</f>
        <v>0.20962005100768991</v>
      </c>
      <c r="R12" s="1104"/>
      <c r="S12" s="1103">
        <v>467.2</v>
      </c>
      <c r="T12" s="1040">
        <f>S12/S13*100</f>
        <v>0.20283764305437366</v>
      </c>
      <c r="U12" s="1104"/>
      <c r="V12" s="1190">
        <v>426.1</v>
      </c>
      <c r="W12" s="1191">
        <f>V12/V13*100</f>
        <v>0.18337047937544729</v>
      </c>
    </row>
    <row r="13" spans="1:24" s="108" customFormat="1" ht="32.25" customHeight="1">
      <c r="A13" s="173"/>
      <c r="C13" s="704" t="s">
        <v>171</v>
      </c>
      <c r="D13" s="644">
        <f>SUM(D8:D12)</f>
        <v>214926.8</v>
      </c>
      <c r="E13" s="643">
        <f>E8+E9+E10+E11+E12</f>
        <v>100</v>
      </c>
      <c r="F13" s="911">
        <f>SUM(F8:F12)</f>
        <v>224407.8</v>
      </c>
      <c r="G13" s="910">
        <f>G8+G9+G10+G11+G12</f>
        <v>100</v>
      </c>
      <c r="H13" s="644">
        <f>SUM(H8:H12)</f>
        <v>223245.7</v>
      </c>
      <c r="I13" s="910">
        <f>I8+I9+I10+I11+I12</f>
        <v>100</v>
      </c>
      <c r="J13" s="911">
        <f>SUM(J8:J12)</f>
        <v>226888</v>
      </c>
      <c r="K13" s="910">
        <f>K8+K9+K10+K11+K12</f>
        <v>100</v>
      </c>
      <c r="L13" s="911">
        <f>SUM(L8:L12)</f>
        <v>231310.19999999998</v>
      </c>
      <c r="M13" s="910">
        <f>M8+M9+M10+M11+M12</f>
        <v>100</v>
      </c>
      <c r="N13" s="911">
        <f>SUM(N8:N12)</f>
        <v>228267.40000000002</v>
      </c>
      <c r="O13" s="910">
        <f>O8+O9+O10+O11+O12</f>
        <v>100</v>
      </c>
      <c r="P13" s="1105">
        <f>SUM(P8:P12)</f>
        <v>231227.88</v>
      </c>
      <c r="Q13" s="1040">
        <f>Q8+Q9+Q10+Q11+Q12</f>
        <v>100</v>
      </c>
      <c r="R13" s="1104"/>
      <c r="S13" s="1105">
        <f>SUM(S8:S12)</f>
        <v>230332</v>
      </c>
      <c r="T13" s="1040">
        <f>T8+T9+T10+T11+T12</f>
        <v>100.00000000000001</v>
      </c>
      <c r="U13" s="1104"/>
      <c r="V13" s="1192">
        <f>SUM(V8:V12)</f>
        <v>232371.1</v>
      </c>
      <c r="W13" s="1191">
        <f>W8+W9+W10+W11+W12</f>
        <v>100</v>
      </c>
    </row>
    <row r="14" spans="1:24" s="108" customFormat="1" ht="32.25" customHeight="1">
      <c r="A14" s="173"/>
      <c r="C14" s="680" t="s">
        <v>172</v>
      </c>
      <c r="D14" s="642">
        <f>D9+D10+D11+D12</f>
        <v>6487.4000000000005</v>
      </c>
      <c r="E14" s="643">
        <f>D14/D13*100</f>
        <v>3.0184230165805293</v>
      </c>
      <c r="F14" s="909">
        <f>F9+F10+F11+F12</f>
        <v>6508.2000000000007</v>
      </c>
      <c r="G14" s="910">
        <f>F14/F13*100</f>
        <v>2.9001665717501806</v>
      </c>
      <c r="H14" s="642">
        <f>H9+H10+H11+H12</f>
        <v>5672.6</v>
      </c>
      <c r="I14" s="910">
        <f>H14/H13*100</f>
        <v>2.5409671944409231</v>
      </c>
      <c r="J14" s="909">
        <f>J9+J10+J11+J12</f>
        <v>5256.4000000000005</v>
      </c>
      <c r="K14" s="910">
        <f>J14/J13*100</f>
        <v>2.3167377737033252</v>
      </c>
      <c r="L14" s="909">
        <f>L9+L10+L11+L12</f>
        <v>4996.9000000000005</v>
      </c>
      <c r="M14" s="910">
        <f>L14/L13*100</f>
        <v>2.1602592535910659</v>
      </c>
      <c r="N14" s="909">
        <f>N9+N10+N11+N12</f>
        <v>4774.4000000000005</v>
      </c>
      <c r="O14" s="910">
        <f>N14/N13*100</f>
        <v>2.0915820655949999</v>
      </c>
      <c r="P14" s="1103">
        <f>P9+P10+P11+P12</f>
        <v>4188.38</v>
      </c>
      <c r="Q14" s="1040">
        <f>P14/P13*100</f>
        <v>1.811364615720215</v>
      </c>
      <c r="R14" s="1104"/>
      <c r="S14" s="1103">
        <f>S9+S10+S11+S12</f>
        <v>3787.8999999999996</v>
      </c>
      <c r="T14" s="1040">
        <f>S14/S13*100</f>
        <v>1.6445391869128041</v>
      </c>
      <c r="U14" s="1104"/>
      <c r="V14" s="1190">
        <f>V9+V10+V11+V12</f>
        <v>3786.7999999999997</v>
      </c>
      <c r="W14" s="1191">
        <f>V14/V13*100</f>
        <v>1.6296346662730432</v>
      </c>
    </row>
    <row r="15" spans="1:24" s="108" customFormat="1" ht="32.25" customHeight="1">
      <c r="A15" s="173"/>
      <c r="C15" s="680" t="s">
        <v>173</v>
      </c>
      <c r="D15" s="642">
        <f>D10+D11+D12</f>
        <v>3706.8999999999996</v>
      </c>
      <c r="E15" s="643">
        <f>D15/D13*100</f>
        <v>1.7247267441752261</v>
      </c>
      <c r="F15" s="909">
        <f>F10+F11+F12</f>
        <v>3703.4</v>
      </c>
      <c r="G15" s="912">
        <f>F15/F13*100</f>
        <v>1.6502991428996676</v>
      </c>
      <c r="H15" s="642">
        <f>H10+H11+H12</f>
        <v>3298.2999999999997</v>
      </c>
      <c r="I15" s="912">
        <f>H15/H13*100</f>
        <v>1.4774304723450438</v>
      </c>
      <c r="J15" s="909">
        <f>J10+J11+J12</f>
        <v>3155.7</v>
      </c>
      <c r="K15" s="912">
        <f>J15/J13*100</f>
        <v>1.3908624519586754</v>
      </c>
      <c r="L15" s="909">
        <f>L10+L11+L12</f>
        <v>2828.9000000000005</v>
      </c>
      <c r="M15" s="912">
        <f>L15/L13*100</f>
        <v>1.2229897341319149</v>
      </c>
      <c r="N15" s="909">
        <f>N10+N11+N12</f>
        <v>2446.3000000000002</v>
      </c>
      <c r="O15" s="912">
        <f>N15/N13*100</f>
        <v>1.0716817206486777</v>
      </c>
      <c r="P15" s="1103">
        <f>P10+P11+P12</f>
        <v>2281.9799999999996</v>
      </c>
      <c r="Q15" s="1041">
        <f>P15/P13*100</f>
        <v>0.98689656281932758</v>
      </c>
      <c r="R15" s="1106"/>
      <c r="S15" s="1103">
        <f>S10+S11+S12</f>
        <v>2007.1000000000001</v>
      </c>
      <c r="T15" s="1041">
        <f>S15/S13*100</f>
        <v>0.87139433513363329</v>
      </c>
      <c r="U15" s="1106"/>
      <c r="V15" s="1190">
        <f>V10+V11+V12</f>
        <v>1982.1999999999998</v>
      </c>
      <c r="W15" s="1193">
        <f>V15/V13*100</f>
        <v>0.85303206810141174</v>
      </c>
    </row>
    <row r="16" spans="1:24" s="108" customFormat="1" ht="32.25" customHeight="1">
      <c r="A16" s="173"/>
      <c r="C16" s="704" t="s">
        <v>4</v>
      </c>
      <c r="D16" s="644">
        <v>2647.6</v>
      </c>
      <c r="E16" s="645"/>
      <c r="F16" s="911">
        <v>2683.8</v>
      </c>
      <c r="G16" s="913"/>
      <c r="H16" s="644">
        <v>2377.5</v>
      </c>
      <c r="I16" s="913"/>
      <c r="J16" s="911">
        <v>2351.1</v>
      </c>
      <c r="K16" s="913"/>
      <c r="L16" s="911">
        <v>2334.5</v>
      </c>
      <c r="M16" s="913"/>
      <c r="N16" s="911">
        <v>2149.4</v>
      </c>
      <c r="O16" s="913"/>
      <c r="P16" s="1105">
        <v>2006.6</v>
      </c>
      <c r="Q16" s="1042"/>
      <c r="R16" s="1107"/>
      <c r="S16" s="1105">
        <v>1831.4</v>
      </c>
      <c r="T16" s="1042"/>
      <c r="U16" s="1107"/>
      <c r="V16" s="1192">
        <v>1771.7</v>
      </c>
      <c r="W16" s="1194"/>
    </row>
    <row r="17" spans="1:27" s="108" customFormat="1" ht="15.75" customHeight="1">
      <c r="A17" s="173"/>
      <c r="C17" s="652"/>
      <c r="D17" s="646"/>
      <c r="E17" s="647"/>
      <c r="F17" s="646"/>
      <c r="G17" s="647"/>
      <c r="H17" s="646"/>
      <c r="I17" s="647"/>
      <c r="J17" s="646"/>
      <c r="K17" s="647"/>
      <c r="L17" s="646"/>
      <c r="M17" s="647"/>
      <c r="N17" s="646"/>
      <c r="O17" s="647"/>
      <c r="P17" s="646"/>
      <c r="Q17" s="647"/>
      <c r="R17" s="647"/>
      <c r="S17" s="646"/>
      <c r="T17" s="647"/>
      <c r="U17" s="647"/>
      <c r="V17" s="646"/>
      <c r="W17" s="647"/>
      <c r="AA17" s="939"/>
    </row>
    <row r="18" spans="1:27" s="108" customFormat="1" ht="28.5" customHeight="1">
      <c r="A18" s="173"/>
      <c r="C18" s="705" t="s">
        <v>174</v>
      </c>
      <c r="D18" s="648"/>
      <c r="E18" s="649"/>
      <c r="F18" s="648"/>
      <c r="G18" s="649"/>
      <c r="H18" s="648"/>
      <c r="I18" s="649"/>
      <c r="J18" s="648"/>
      <c r="K18" s="649"/>
      <c r="L18" s="648"/>
      <c r="M18" s="649"/>
      <c r="N18" s="648"/>
      <c r="O18" s="649"/>
      <c r="P18" s="648"/>
      <c r="Q18" s="649"/>
      <c r="R18" s="649"/>
      <c r="S18" s="648"/>
      <c r="T18" s="649"/>
      <c r="U18" s="649"/>
      <c r="V18" s="648"/>
      <c r="W18" s="649"/>
    </row>
    <row r="19" spans="1:27" s="108" customFormat="1" ht="24.75" customHeight="1">
      <c r="A19" s="173"/>
      <c r="C19" s="681" t="s">
        <v>556</v>
      </c>
      <c r="D19" s="1366"/>
      <c r="E19" s="1367">
        <f>(D16+6.3)/D15*100</f>
        <v>71.593514796730432</v>
      </c>
      <c r="F19" s="936"/>
      <c r="G19" s="1368">
        <f>(F16+7.8)/F15*100</f>
        <v>72.679159691094668</v>
      </c>
      <c r="H19" s="1366"/>
      <c r="I19" s="1367">
        <f>(H16+6.2)/H15*100</f>
        <v>72.270563623684922</v>
      </c>
      <c r="J19" s="936"/>
      <c r="K19" s="1368">
        <f>(J16+8)/J15*100</f>
        <v>74.756789301898152</v>
      </c>
      <c r="L19" s="1366"/>
      <c r="M19" s="1367">
        <f>(L16+6.9)/L15*100</f>
        <v>82.767153310474015</v>
      </c>
      <c r="N19" s="936"/>
      <c r="O19" s="1368">
        <f>(N16+5.4)/N15*100</f>
        <v>88.084045292891318</v>
      </c>
      <c r="P19" s="1369"/>
      <c r="Q19" s="1370">
        <v>88.1</v>
      </c>
      <c r="R19" s="1108"/>
      <c r="S19" s="1250"/>
      <c r="T19" s="1371">
        <v>91.5</v>
      </c>
      <c r="U19" s="1108"/>
      <c r="V19" s="1372"/>
      <c r="W19" s="1373">
        <v>89.7</v>
      </c>
      <c r="X19" s="996"/>
      <c r="Y19" s="997"/>
    </row>
    <row r="20" spans="1:27" s="108" customFormat="1" ht="24.75" customHeight="1">
      <c r="A20" s="173"/>
      <c r="C20" s="677" t="s">
        <v>561</v>
      </c>
      <c r="D20" s="648"/>
      <c r="E20" s="1475">
        <f>-(D16+6.3+1405.4)/D15*100</f>
        <v>-109.50659580781787</v>
      </c>
      <c r="F20" s="1476"/>
      <c r="G20" s="1477">
        <v>-117.5</v>
      </c>
      <c r="H20" s="1478"/>
      <c r="I20" s="1475">
        <v>-125.3</v>
      </c>
      <c r="J20" s="1476"/>
      <c r="K20" s="1477">
        <v>-130</v>
      </c>
      <c r="L20" s="1478"/>
      <c r="M20" s="1475">
        <v>-144</v>
      </c>
      <c r="N20" s="1476"/>
      <c r="O20" s="1477">
        <v>-159.80000000000001</v>
      </c>
      <c r="P20" s="1479"/>
      <c r="Q20" s="1480">
        <v>-162.69999999999999</v>
      </c>
      <c r="R20" s="1481"/>
      <c r="S20" s="1482"/>
      <c r="T20" s="1483">
        <v>-184</v>
      </c>
      <c r="U20" s="1481"/>
      <c r="V20" s="1484"/>
      <c r="W20" s="1485">
        <v>-184.2</v>
      </c>
      <c r="X20" s="996"/>
      <c r="Y20" s="997"/>
    </row>
    <row r="21" spans="1:27" s="108" customFormat="1" ht="28.5" customHeight="1" thickBot="1">
      <c r="A21" s="173"/>
      <c r="C21" s="678" t="s">
        <v>175</v>
      </c>
      <c r="D21" s="650"/>
      <c r="E21" s="651">
        <f>D16/D13*100</f>
        <v>1.2318612662543713</v>
      </c>
      <c r="F21" s="937"/>
      <c r="G21" s="938">
        <f>F16/F13*100</f>
        <v>1.1959477344370384</v>
      </c>
      <c r="H21" s="650"/>
      <c r="I21" s="651">
        <f>H16/H13*100</f>
        <v>1.0649701203651403</v>
      </c>
      <c r="J21" s="937"/>
      <c r="K21" s="938">
        <f>J16/J13*100</f>
        <v>1.0362381439300448</v>
      </c>
      <c r="L21" s="650"/>
      <c r="M21" s="651">
        <f>L16/L13*100</f>
        <v>1.0092507809858797</v>
      </c>
      <c r="N21" s="937"/>
      <c r="O21" s="938">
        <f>N16/N13*100</f>
        <v>0.94161496560612679</v>
      </c>
      <c r="P21" s="1043"/>
      <c r="Q21" s="1044">
        <f>P16/P13*100</f>
        <v>0.86780192769141851</v>
      </c>
      <c r="R21" s="1109"/>
      <c r="S21" s="1251"/>
      <c r="T21" s="1249">
        <f>S16/S13*100</f>
        <v>0.79511314103120712</v>
      </c>
      <c r="U21" s="1109"/>
      <c r="V21" s="1195"/>
      <c r="W21" s="1196">
        <f>V16/V13*100</f>
        <v>0.76244421100558546</v>
      </c>
    </row>
    <row r="22" spans="1:27" s="108" customFormat="1" ht="9.75" customHeight="1">
      <c r="A22" s="173"/>
      <c r="C22" s="48"/>
      <c r="D22" s="287"/>
      <c r="E22" s="288"/>
      <c r="F22" s="287"/>
      <c r="G22" s="288"/>
      <c r="H22" s="287"/>
      <c r="I22" s="288"/>
      <c r="J22" s="287"/>
      <c r="K22" s="288"/>
      <c r="L22" s="287"/>
      <c r="M22" s="288"/>
      <c r="N22" s="287"/>
      <c r="O22" s="288"/>
      <c r="P22" s="287"/>
      <c r="Q22" s="288"/>
      <c r="R22" s="288"/>
      <c r="S22" s="287"/>
      <c r="T22" s="288"/>
      <c r="U22" s="288"/>
      <c r="V22" s="287"/>
      <c r="W22" s="288"/>
      <c r="X22" s="288"/>
    </row>
    <row r="23" spans="1:27" s="108" customFormat="1" ht="15.75" customHeight="1">
      <c r="A23" s="173"/>
      <c r="C23" s="226" t="s">
        <v>176</v>
      </c>
    </row>
    <row r="24" spans="1:27" s="108" customFormat="1" ht="15.75" customHeight="1">
      <c r="A24" s="173"/>
      <c r="C24" s="499" t="s">
        <v>557</v>
      </c>
      <c r="H24" s="1359"/>
      <c r="I24" s="1360"/>
    </row>
    <row r="25" spans="1:27">
      <c r="A25" s="168"/>
      <c r="C25" s="1356" t="s">
        <v>558</v>
      </c>
      <c r="D25" s="1352"/>
      <c r="E25" s="1352"/>
      <c r="F25" s="1352"/>
    </row>
    <row r="26" spans="1:27" ht="15" customHeight="1">
      <c r="A26" s="168"/>
      <c r="C26" s="1356"/>
      <c r="D26" s="1352"/>
      <c r="E26" s="1352"/>
      <c r="F26" s="1352"/>
    </row>
    <row r="27" spans="1:27" ht="12.75" customHeight="1">
      <c r="A27" s="168"/>
    </row>
    <row r="30" spans="1:27">
      <c r="Q30" s="1358"/>
      <c r="R30" s="1358"/>
      <c r="S30" s="1358"/>
      <c r="T30" s="1358"/>
      <c r="U30" s="1358"/>
      <c r="V30" s="1358"/>
      <c r="W30" s="1358"/>
    </row>
    <row r="31" spans="1:27">
      <c r="Q31" s="1358"/>
      <c r="R31" s="1358"/>
      <c r="S31" s="1358"/>
      <c r="T31" s="1358"/>
      <c r="U31" s="1358"/>
      <c r="V31" s="1358"/>
      <c r="W31" s="1358"/>
    </row>
    <row r="32" spans="1:27">
      <c r="Q32" s="1358"/>
      <c r="R32" s="1358"/>
      <c r="S32" s="1358"/>
      <c r="T32" s="1358"/>
      <c r="U32" s="1358"/>
      <c r="V32" s="1358"/>
      <c r="W32" s="1358"/>
    </row>
  </sheetData>
  <mergeCells count="10">
    <mergeCell ref="C1:V1"/>
    <mergeCell ref="V6:W6"/>
    <mergeCell ref="D6:E6"/>
    <mergeCell ref="F6:G6"/>
    <mergeCell ref="H6:I6"/>
    <mergeCell ref="J6:K6"/>
    <mergeCell ref="L6:M6"/>
    <mergeCell ref="N6:O6"/>
    <mergeCell ref="P6:Q6"/>
    <mergeCell ref="S6:U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1"/>
  <sheetViews>
    <sheetView showGridLines="0" view="pageBreakPreview" topLeftCell="B1" zoomScale="90" zoomScaleNormal="85" zoomScaleSheetLayoutView="90" workbookViewId="0">
      <selection activeCell="C32" sqref="C32:C33"/>
    </sheetView>
  </sheetViews>
  <sheetFormatPr defaultRowHeight="15"/>
  <cols>
    <col min="1" max="1" width="23.85546875" style="77" customWidth="1"/>
    <col min="2" max="2" width="5.28515625" style="77" customWidth="1"/>
    <col min="3" max="3" width="22.7109375" style="77" customWidth="1"/>
    <col min="4" max="4" width="1.140625" style="77" customWidth="1"/>
    <col min="5" max="17" width="11" style="77" customWidth="1"/>
    <col min="18" max="16384" width="9.140625" style="77"/>
  </cols>
  <sheetData>
    <row r="1" spans="1:19" ht="38.25" customHeight="1">
      <c r="A1" s="813"/>
      <c r="B1" s="167"/>
      <c r="C1" s="627" t="s">
        <v>189</v>
      </c>
      <c r="D1" s="333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9" ht="13.5" customHeight="1">
      <c r="A2" s="168"/>
    </row>
    <row r="3" spans="1:19" ht="21.75" customHeight="1">
      <c r="A3" s="168"/>
      <c r="C3" s="628"/>
      <c r="D3" s="170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19" ht="28.5" customHeight="1">
      <c r="A4" s="168"/>
      <c r="C4" s="169"/>
      <c r="D4" s="170"/>
      <c r="E4" s="796"/>
      <c r="F4" s="796"/>
      <c r="G4" s="796"/>
      <c r="I4" s="796"/>
      <c r="J4" s="796"/>
      <c r="K4" s="796"/>
      <c r="L4" s="796"/>
      <c r="M4" s="796"/>
      <c r="N4" s="796"/>
      <c r="O4" s="796"/>
      <c r="P4" s="796" t="s">
        <v>192</v>
      </c>
      <c r="Q4" s="796"/>
    </row>
    <row r="5" spans="1:19" ht="27" customHeight="1">
      <c r="A5" s="168"/>
      <c r="C5" s="303"/>
      <c r="D5" s="169"/>
      <c r="E5" s="1434" t="s">
        <v>491</v>
      </c>
      <c r="F5" s="1433"/>
      <c r="G5" s="1433"/>
      <c r="H5" s="1433"/>
      <c r="I5" s="1415" t="s">
        <v>470</v>
      </c>
      <c r="J5" s="1433" t="s">
        <v>489</v>
      </c>
      <c r="K5" s="1433"/>
      <c r="L5" s="1433"/>
      <c r="M5" s="1433"/>
      <c r="N5" s="1415" t="s">
        <v>499</v>
      </c>
      <c r="O5" s="1433" t="s">
        <v>489</v>
      </c>
      <c r="P5" s="1433"/>
      <c r="Q5" s="305"/>
    </row>
    <row r="6" spans="1:19" ht="6.75" customHeight="1">
      <c r="A6" s="173"/>
      <c r="B6" s="108"/>
      <c r="D6" s="440"/>
      <c r="E6" s="304"/>
      <c r="F6" s="304"/>
      <c r="G6" s="304"/>
      <c r="H6" s="304"/>
      <c r="I6" s="1415"/>
      <c r="J6" s="305"/>
      <c r="K6" s="305"/>
      <c r="L6" s="305"/>
      <c r="M6" s="305"/>
      <c r="N6" s="1415"/>
      <c r="O6" s="305"/>
      <c r="P6" s="1225"/>
      <c r="Q6" s="1028"/>
      <c r="R6" s="304"/>
      <c r="S6" s="304"/>
    </row>
    <row r="7" spans="1:19" ht="30" customHeight="1">
      <c r="A7" s="173"/>
      <c r="B7" s="108"/>
      <c r="C7" s="169" t="s">
        <v>409</v>
      </c>
      <c r="D7" s="440"/>
      <c r="E7" s="304" t="s">
        <v>434</v>
      </c>
      <c r="F7" s="304" t="s">
        <v>462</v>
      </c>
      <c r="G7" s="304" t="s">
        <v>467</v>
      </c>
      <c r="H7" s="304" t="s">
        <v>469</v>
      </c>
      <c r="I7" s="1415"/>
      <c r="J7" s="304" t="s">
        <v>488</v>
      </c>
      <c r="K7" s="304" t="s">
        <v>486</v>
      </c>
      <c r="L7" s="304" t="s">
        <v>490</v>
      </c>
      <c r="M7" s="304" t="s">
        <v>494</v>
      </c>
      <c r="N7" s="1415"/>
      <c r="O7" s="304" t="s">
        <v>498</v>
      </c>
      <c r="P7" s="304" t="s">
        <v>539</v>
      </c>
      <c r="Q7" s="1028"/>
      <c r="R7" s="304"/>
      <c r="S7" s="304"/>
    </row>
    <row r="8" spans="1:19" ht="17.25" customHeight="1">
      <c r="A8" s="173"/>
      <c r="B8" s="108"/>
      <c r="C8" s="656"/>
      <c r="D8" s="440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1045"/>
    </row>
    <row r="9" spans="1:19" ht="36.75" customHeight="1">
      <c r="A9" s="173"/>
      <c r="B9" s="108"/>
      <c r="C9" s="680" t="s">
        <v>374</v>
      </c>
      <c r="D9" s="306"/>
      <c r="E9" s="1168">
        <v>195.3</v>
      </c>
      <c r="F9" s="1168">
        <v>418</v>
      </c>
      <c r="G9" s="1168">
        <v>161.19999999999999</v>
      </c>
      <c r="H9" s="1168">
        <v>56.9</v>
      </c>
      <c r="I9" s="1168">
        <v>831.3</v>
      </c>
      <c r="J9" s="1168">
        <v>182.6</v>
      </c>
      <c r="K9" s="1168">
        <v>176.4</v>
      </c>
      <c r="L9" s="1168">
        <v>173.6</v>
      </c>
      <c r="M9" s="1168">
        <v>87</v>
      </c>
      <c r="N9" s="1168">
        <v>619.70000000000005</v>
      </c>
      <c r="O9" s="1168">
        <v>40.1</v>
      </c>
      <c r="P9" s="1168">
        <v>123.38</v>
      </c>
      <c r="Q9" s="1046"/>
      <c r="R9" s="307"/>
    </row>
    <row r="10" spans="1:19" ht="36.75" customHeight="1">
      <c r="A10" s="173"/>
      <c r="B10" s="108"/>
      <c r="C10" s="680" t="s">
        <v>190</v>
      </c>
      <c r="D10" s="306"/>
      <c r="E10" s="1168">
        <v>35.6</v>
      </c>
      <c r="F10" s="1168">
        <v>50.1</v>
      </c>
      <c r="G10" s="1168">
        <v>18.7</v>
      </c>
      <c r="H10" s="1168">
        <v>-2.2000000000000002</v>
      </c>
      <c r="I10" s="1168">
        <v>102.2</v>
      </c>
      <c r="J10" s="1168">
        <v>23.4</v>
      </c>
      <c r="K10" s="1168">
        <v>20.2</v>
      </c>
      <c r="L10" s="1168">
        <v>21.6</v>
      </c>
      <c r="M10" s="1168">
        <v>8.1</v>
      </c>
      <c r="N10" s="1168">
        <v>73.3</v>
      </c>
      <c r="O10" s="1168">
        <v>34.5</v>
      </c>
      <c r="P10" s="1168">
        <v>29.7</v>
      </c>
      <c r="Q10" s="1046"/>
      <c r="R10" s="307"/>
    </row>
    <row r="11" spans="1:19" ht="36.75" customHeight="1" thickBot="1">
      <c r="A11" s="173"/>
      <c r="B11" s="108"/>
      <c r="C11" s="679" t="s">
        <v>191</v>
      </c>
      <c r="D11" s="308"/>
      <c r="E11" s="868">
        <f t="shared" ref="E11:I11" si="0">SUM(E9:E10)</f>
        <v>230.9</v>
      </c>
      <c r="F11" s="868">
        <f t="shared" si="0"/>
        <v>468.1</v>
      </c>
      <c r="G11" s="868">
        <f t="shared" si="0"/>
        <v>179.89999999999998</v>
      </c>
      <c r="H11" s="868">
        <f t="shared" si="0"/>
        <v>54.699999999999996</v>
      </c>
      <c r="I11" s="868">
        <f t="shared" si="0"/>
        <v>933.5</v>
      </c>
      <c r="J11" s="868">
        <f>SUM(J9:J10)</f>
        <v>206</v>
      </c>
      <c r="K11" s="868">
        <f t="shared" ref="K11" si="1">SUM(K9:K10)</f>
        <v>196.6</v>
      </c>
      <c r="L11" s="868">
        <f t="shared" ref="L11:N11" si="2">SUM(L9:L10)</f>
        <v>195.2</v>
      </c>
      <c r="M11" s="868">
        <f t="shared" si="2"/>
        <v>95.1</v>
      </c>
      <c r="N11" s="868">
        <f t="shared" si="2"/>
        <v>693</v>
      </c>
      <c r="O11" s="868">
        <f t="shared" ref="O11:P11" si="3">SUM(O9:O10)</f>
        <v>74.599999999999994</v>
      </c>
      <c r="P11" s="868">
        <f t="shared" si="3"/>
        <v>153.07999999999998</v>
      </c>
      <c r="Q11" s="1047"/>
      <c r="R11" s="307"/>
    </row>
    <row r="12" spans="1:19" ht="18.75" customHeight="1">
      <c r="A12" s="173"/>
      <c r="B12" s="108"/>
      <c r="C12" s="201"/>
      <c r="D12" s="201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</row>
    <row r="13" spans="1:19" ht="17.25" customHeight="1">
      <c r="A13" s="173"/>
      <c r="B13" s="108"/>
      <c r="C13" s="438"/>
      <c r="D13" s="412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307"/>
    </row>
    <row r="14" spans="1:19" ht="24" customHeight="1">
      <c r="A14" s="173"/>
      <c r="B14" s="108"/>
      <c r="C14" s="169" t="s">
        <v>410</v>
      </c>
      <c r="D14" s="412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307"/>
    </row>
    <row r="15" spans="1:19" ht="17.25" customHeight="1">
      <c r="A15" s="173"/>
      <c r="B15" s="108"/>
      <c r="C15" s="656"/>
      <c r="D15" s="412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307"/>
    </row>
    <row r="16" spans="1:19" ht="36.75" customHeight="1" thickBot="1">
      <c r="A16" s="173"/>
      <c r="B16" s="108"/>
      <c r="C16" s="678" t="s">
        <v>193</v>
      </c>
      <c r="D16" s="306"/>
      <c r="E16" s="1110">
        <v>37.299999999999997</v>
      </c>
      <c r="F16" s="1110">
        <v>41.2</v>
      </c>
      <c r="G16" s="1110">
        <v>50.5</v>
      </c>
      <c r="H16" s="1110">
        <v>51.9</v>
      </c>
      <c r="I16" s="1110">
        <v>180.5</v>
      </c>
      <c r="J16" s="1110">
        <v>50.7</v>
      </c>
      <c r="K16" s="1110">
        <v>47.3</v>
      </c>
      <c r="L16" s="1110">
        <v>44.4</v>
      </c>
      <c r="M16" s="1110">
        <v>62.6</v>
      </c>
      <c r="N16" s="1110">
        <v>205</v>
      </c>
      <c r="O16" s="1110">
        <v>44.2</v>
      </c>
      <c r="P16" s="1110">
        <v>54.7</v>
      </c>
      <c r="Q16" s="1048"/>
      <c r="R16" s="307"/>
    </row>
    <row r="17" spans="1:18" ht="17.25" customHeight="1">
      <c r="A17" s="173"/>
      <c r="B17" s="108"/>
      <c r="C17" s="201"/>
      <c r="D17" s="201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</row>
    <row r="18" spans="1:18" ht="17.25" customHeight="1">
      <c r="A18" s="173"/>
      <c r="B18" s="108"/>
      <c r="C18" s="201"/>
      <c r="D18" s="201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</row>
    <row r="19" spans="1:18" ht="24" customHeight="1">
      <c r="A19" s="173"/>
      <c r="B19" s="108"/>
      <c r="C19" s="169" t="s">
        <v>411</v>
      </c>
      <c r="D19" s="177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</row>
    <row r="20" spans="1:18" ht="17.25" customHeight="1">
      <c r="A20" s="173"/>
      <c r="B20" s="108"/>
      <c r="C20" s="656"/>
      <c r="D20" s="177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</row>
    <row r="21" spans="1:18" ht="36.75" customHeight="1" thickBot="1">
      <c r="A21" s="173"/>
      <c r="B21" s="108"/>
      <c r="C21" s="679" t="s">
        <v>191</v>
      </c>
      <c r="D21" s="308"/>
      <c r="E21" s="869">
        <f>E11+E16</f>
        <v>268.2</v>
      </c>
      <c r="F21" s="869">
        <f>F11+F16</f>
        <v>509.3</v>
      </c>
      <c r="G21" s="869">
        <f>G11+G16</f>
        <v>230.39999999999998</v>
      </c>
      <c r="H21" s="869">
        <f t="shared" ref="H21" si="4">H11+H16</f>
        <v>106.6</v>
      </c>
      <c r="I21" s="869">
        <f t="shared" ref="I21:M21" si="5">I11+I16</f>
        <v>1114</v>
      </c>
      <c r="J21" s="869">
        <f t="shared" si="5"/>
        <v>256.7</v>
      </c>
      <c r="K21" s="869">
        <f t="shared" si="5"/>
        <v>243.89999999999998</v>
      </c>
      <c r="L21" s="869">
        <f t="shared" si="5"/>
        <v>239.6</v>
      </c>
      <c r="M21" s="869">
        <f t="shared" si="5"/>
        <v>157.69999999999999</v>
      </c>
      <c r="N21" s="869">
        <f t="shared" ref="N21:O21" si="6">N11+N16</f>
        <v>898</v>
      </c>
      <c r="O21" s="869">
        <f t="shared" si="6"/>
        <v>118.8</v>
      </c>
      <c r="P21" s="869">
        <f t="shared" ref="P21" si="7">P11+P16</f>
        <v>207.77999999999997</v>
      </c>
      <c r="Q21" s="1049"/>
      <c r="R21" s="307"/>
    </row>
    <row r="22" spans="1:18" ht="18" customHeight="1">
      <c r="A22" s="173"/>
      <c r="B22" s="108"/>
      <c r="C22" s="199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</row>
    <row r="23" spans="1:18">
      <c r="A23" s="173"/>
      <c r="B23" s="108"/>
      <c r="C23" s="441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</row>
    <row r="24" spans="1:18" ht="15.75">
      <c r="A24" s="188"/>
      <c r="B24" s="189"/>
      <c r="C24" s="169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</row>
    <row r="25" spans="1:18" ht="15.75">
      <c r="A25" s="188"/>
      <c r="B25" s="27"/>
      <c r="C25" s="27"/>
      <c r="D25" s="444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</row>
    <row r="26" spans="1:18">
      <c r="A26" s="188"/>
      <c r="B26" s="189"/>
      <c r="C26" s="209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0"/>
      <c r="O26" s="440"/>
      <c r="P26" s="440"/>
      <c r="Q26" s="440"/>
    </row>
    <row r="27" spans="1:18">
      <c r="A27" s="188"/>
      <c r="B27" s="189"/>
      <c r="C27" s="441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8">
      <c r="A28" s="189"/>
      <c r="B28" s="189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8">
      <c r="A29" s="189"/>
      <c r="B29" s="189"/>
      <c r="C29" s="199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</row>
    <row r="30" spans="1:18">
      <c r="A30" s="189"/>
      <c r="B30" s="189"/>
      <c r="C30" s="199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</row>
    <row r="31" spans="1:18">
      <c r="A31" s="189"/>
      <c r="B31" s="189"/>
      <c r="C31" s="199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</row>
    <row r="32" spans="1:18">
      <c r="A32" s="189"/>
      <c r="B32" s="189"/>
      <c r="C32" s="199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</row>
    <row r="33" spans="1:17">
      <c r="A33" s="189"/>
      <c r="B33" s="189"/>
      <c r="C33" s="199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</row>
    <row r="34" spans="1:17">
      <c r="A34" s="189"/>
      <c r="B34" s="189"/>
      <c r="C34" s="442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</row>
    <row r="35" spans="1:17">
      <c r="A35" s="189"/>
      <c r="B35" s="189"/>
      <c r="C35" s="199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</row>
    <row r="36" spans="1:17">
      <c r="A36" s="189"/>
      <c r="B36" s="189"/>
      <c r="C36" s="199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</row>
    <row r="37" spans="1:17">
      <c r="A37" s="189"/>
      <c r="B37" s="18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</row>
    <row r="38" spans="1:17">
      <c r="A38" s="189"/>
      <c r="B38" s="189"/>
      <c r="C38" s="442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</row>
    <row r="39" spans="1:17">
      <c r="A39" s="189"/>
      <c r="B39" s="189"/>
      <c r="C39" s="199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</row>
    <row r="40" spans="1:17">
      <c r="A40" s="189"/>
      <c r="B40" s="189"/>
      <c r="C40" s="199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</row>
    <row r="41" spans="1:17">
      <c r="A41" s="189"/>
      <c r="B41" s="189"/>
      <c r="C41" s="199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</row>
    <row r="42" spans="1:17">
      <c r="A42" s="189"/>
      <c r="B42" s="189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</row>
    <row r="43" spans="1:17">
      <c r="A43" s="189"/>
      <c r="B43" s="189"/>
      <c r="C43" s="443"/>
      <c r="D43" s="443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</row>
    <row r="44" spans="1:17">
      <c r="A44" s="189"/>
      <c r="B44" s="189"/>
      <c r="C44" s="443"/>
      <c r="D44" s="443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</row>
    <row r="45" spans="1:17">
      <c r="A45" s="27"/>
      <c r="B45" s="27"/>
      <c r="C45" s="443"/>
      <c r="D45" s="443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ht="19.5">
      <c r="A47" s="27"/>
      <c r="B47" s="27"/>
      <c r="C47" s="1418"/>
      <c r="D47" s="1418"/>
    </row>
    <row r="48" spans="1:17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ht="18">
      <c r="A50" s="27"/>
      <c r="B50" s="27"/>
      <c r="C50" s="205"/>
      <c r="D50" s="205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</row>
    <row r="51" spans="1:17" ht="15.75">
      <c r="A51" s="27"/>
      <c r="B51" s="27"/>
      <c r="C51" s="444"/>
      <c r="D51" s="444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</row>
    <row r="52" spans="1:17">
      <c r="A52" s="189"/>
      <c r="B52" s="189"/>
      <c r="C52" s="209"/>
      <c r="D52" s="209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</row>
    <row r="53" spans="1:17">
      <c r="A53" s="189"/>
      <c r="B53" s="189"/>
      <c r="C53" s="441"/>
      <c r="D53" s="441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>
      <c r="A54" s="189"/>
      <c r="B54" s="189"/>
      <c r="C54" s="199"/>
      <c r="D54" s="199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</row>
    <row r="55" spans="1:17">
      <c r="A55" s="189"/>
      <c r="B55" s="189"/>
      <c r="C55" s="199"/>
      <c r="D55" s="199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</row>
    <row r="56" spans="1:17">
      <c r="A56" s="189"/>
      <c r="B56" s="189"/>
      <c r="C56" s="199"/>
      <c r="D56" s="199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</row>
    <row r="57" spans="1:17">
      <c r="A57" s="189"/>
      <c r="B57" s="189"/>
      <c r="C57" s="199"/>
      <c r="D57" s="199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</row>
    <row r="58" spans="1:17">
      <c r="A58" s="189"/>
      <c r="B58" s="189"/>
      <c r="C58" s="199"/>
      <c r="D58" s="199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</row>
    <row r="59" spans="1:17">
      <c r="A59" s="189"/>
      <c r="B59" s="189"/>
      <c r="C59" s="442"/>
      <c r="D59" s="442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</row>
    <row r="60" spans="1:17">
      <c r="A60" s="189"/>
      <c r="B60" s="189"/>
      <c r="C60" s="199"/>
      <c r="D60" s="199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</row>
    <row r="61" spans="1:17">
      <c r="A61" s="189"/>
      <c r="B61" s="189"/>
      <c r="C61" s="199"/>
      <c r="D61" s="199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</row>
    <row r="62" spans="1:17">
      <c r="A62" s="189"/>
      <c r="B62" s="18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</row>
    <row r="63" spans="1:17">
      <c r="A63" s="189"/>
      <c r="B63" s="189"/>
      <c r="C63" s="442"/>
      <c r="D63" s="442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</row>
    <row r="64" spans="1:17">
      <c r="A64" s="189"/>
      <c r="B64" s="189"/>
      <c r="C64" s="199"/>
      <c r="D64" s="199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</row>
    <row r="65" spans="1:17">
      <c r="A65" s="189"/>
      <c r="B65" s="189"/>
      <c r="C65" s="199"/>
      <c r="D65" s="199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</row>
    <row r="66" spans="1:17">
      <c r="A66" s="189"/>
      <c r="B66" s="189"/>
      <c r="C66" s="199"/>
      <c r="D66" s="199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</row>
    <row r="67" spans="1:17">
      <c r="A67" s="189"/>
      <c r="B67" s="189"/>
      <c r="C67" s="199"/>
      <c r="D67" s="199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</row>
    <row r="68" spans="1:17">
      <c r="A68" s="189"/>
      <c r="B68" s="189"/>
      <c r="C68" s="199"/>
      <c r="D68" s="199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</row>
    <row r="69" spans="1:17">
      <c r="A69" s="189"/>
      <c r="B69" s="189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</row>
    <row r="70" spans="1:17" ht="15.75">
      <c r="A70" s="27"/>
      <c r="B70" s="27"/>
      <c r="C70" s="444"/>
      <c r="D70" s="444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</row>
    <row r="71" spans="1:17">
      <c r="A71" s="189"/>
      <c r="B71" s="189"/>
      <c r="C71" s="209"/>
      <c r="D71" s="209"/>
      <c r="E71" s="440"/>
      <c r="F71" s="440"/>
      <c r="G71" s="440"/>
      <c r="H71" s="440"/>
      <c r="I71" s="440"/>
      <c r="J71" s="440"/>
      <c r="K71" s="440"/>
      <c r="L71" s="440"/>
      <c r="M71" s="440"/>
      <c r="N71" s="440"/>
      <c r="O71" s="440"/>
      <c r="P71" s="440"/>
      <c r="Q71" s="440"/>
    </row>
    <row r="72" spans="1:17">
      <c r="A72" s="189"/>
      <c r="B72" s="189"/>
      <c r="C72" s="441"/>
      <c r="D72" s="441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>
      <c r="A73" s="189"/>
      <c r="B73" s="189"/>
      <c r="C73" s="199"/>
      <c r="D73" s="199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</row>
    <row r="74" spans="1:17">
      <c r="A74" s="189"/>
      <c r="B74" s="189"/>
      <c r="C74" s="199"/>
      <c r="D74" s="199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</row>
    <row r="75" spans="1:17">
      <c r="A75" s="189"/>
      <c r="B75" s="189"/>
      <c r="C75" s="199"/>
      <c r="D75" s="199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</row>
    <row r="76" spans="1:17">
      <c r="A76" s="189"/>
      <c r="B76" s="189"/>
      <c r="C76" s="199"/>
      <c r="D76" s="199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</row>
    <row r="77" spans="1:17">
      <c r="A77" s="189"/>
      <c r="B77" s="189"/>
      <c r="C77" s="199"/>
      <c r="D77" s="199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</row>
    <row r="78" spans="1:17">
      <c r="A78" s="189"/>
      <c r="B78" s="189"/>
      <c r="C78" s="442"/>
      <c r="D78" s="442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</row>
    <row r="79" spans="1:17">
      <c r="A79" s="189"/>
      <c r="B79" s="189"/>
      <c r="C79" s="199"/>
      <c r="D79" s="199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</row>
    <row r="80" spans="1:17">
      <c r="A80" s="189"/>
      <c r="B80" s="189"/>
      <c r="C80" s="199"/>
      <c r="D80" s="199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</row>
    <row r="81" spans="1:17">
      <c r="A81" s="189"/>
      <c r="B81" s="18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</row>
    <row r="82" spans="1:17">
      <c r="A82" s="189"/>
      <c r="B82" s="189"/>
      <c r="C82" s="442"/>
      <c r="D82" s="442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</row>
    <row r="83" spans="1:17">
      <c r="A83" s="189"/>
      <c r="B83" s="189"/>
      <c r="C83" s="199"/>
      <c r="D83" s="199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</row>
    <row r="84" spans="1:17">
      <c r="A84" s="189"/>
      <c r="B84" s="189"/>
      <c r="C84" s="199"/>
      <c r="D84" s="199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</row>
    <row r="85" spans="1:17">
      <c r="A85" s="189"/>
      <c r="B85" s="189"/>
      <c r="C85" s="199"/>
      <c r="D85" s="199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</row>
    <row r="86" spans="1:17">
      <c r="A86" s="189"/>
      <c r="B86" s="189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</row>
    <row r="87" spans="1:17">
      <c r="A87" s="189"/>
      <c r="B87" s="189"/>
      <c r="C87" s="443"/>
      <c r="D87" s="443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</row>
    <row r="88" spans="1:17">
      <c r="A88" s="189"/>
      <c r="B88" s="189"/>
      <c r="C88" s="443"/>
      <c r="D88" s="443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</row>
    <row r="89" spans="1:17">
      <c r="A89" s="27"/>
      <c r="B89" s="27"/>
      <c r="C89" s="443"/>
      <c r="D89" s="443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</sheetData>
  <mergeCells count="6">
    <mergeCell ref="O5:P5"/>
    <mergeCell ref="J5:M5"/>
    <mergeCell ref="E5:H5"/>
    <mergeCell ref="C47:D47"/>
    <mergeCell ref="I5:I7"/>
    <mergeCell ref="N5:N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zoomScale="90" zoomScaleNormal="100" zoomScaleSheetLayoutView="90" workbookViewId="0">
      <selection activeCell="C24" sqref="C24"/>
    </sheetView>
  </sheetViews>
  <sheetFormatPr defaultRowHeight="15"/>
  <cols>
    <col min="1" max="1" width="20.85546875" style="77" customWidth="1"/>
    <col min="2" max="2" width="6" style="77" customWidth="1"/>
    <col min="3" max="3" width="22.5703125" style="77" customWidth="1"/>
    <col min="4" max="18" width="8.5703125" style="77" customWidth="1"/>
    <col min="19" max="19" width="3.85546875" style="77" customWidth="1"/>
    <col min="20" max="16384" width="9.140625" style="77"/>
  </cols>
  <sheetData>
    <row r="1" spans="1:20" s="282" customFormat="1" ht="36" customHeight="1">
      <c r="A1" s="813"/>
      <c r="B1" s="281"/>
      <c r="C1" s="1405" t="s">
        <v>463</v>
      </c>
      <c r="D1" s="1405"/>
      <c r="E1" s="1405"/>
      <c r="F1" s="1405"/>
      <c r="G1" s="1405"/>
      <c r="H1" s="1405"/>
      <c r="I1" s="1405"/>
      <c r="J1" s="1405"/>
      <c r="K1" s="1405"/>
      <c r="L1" s="1405"/>
      <c r="M1" s="1405"/>
      <c r="N1" s="1405"/>
      <c r="O1" s="1405"/>
      <c r="P1" s="1405"/>
      <c r="Q1" s="1405"/>
      <c r="R1" s="1405"/>
      <c r="S1" s="1405"/>
      <c r="T1" s="249"/>
    </row>
    <row r="2" spans="1:20" ht="9" customHeight="1">
      <c r="A2" s="168"/>
      <c r="C2" s="170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08"/>
      <c r="T2" s="108"/>
    </row>
    <row r="3" spans="1:20" ht="15" customHeight="1">
      <c r="A3" s="168"/>
      <c r="C3" s="870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08"/>
      <c r="T3" s="108"/>
    </row>
    <row r="4" spans="1:20" s="108" customFormat="1" ht="10.15" customHeight="1">
      <c r="A4" s="173"/>
      <c r="C4" s="291"/>
      <c r="D4" s="292"/>
      <c r="E4" s="292"/>
      <c r="F4" s="293"/>
      <c r="G4" s="293"/>
      <c r="H4" s="293"/>
      <c r="I4" s="293"/>
      <c r="J4" s="292"/>
      <c r="K4" s="292"/>
      <c r="L4" s="293"/>
      <c r="M4" s="292"/>
      <c r="N4" s="292"/>
      <c r="O4" s="293"/>
      <c r="P4" s="294"/>
      <c r="Q4" s="294"/>
      <c r="R4" s="295"/>
    </row>
    <row r="5" spans="1:20" ht="27.75" customHeight="1">
      <c r="A5" s="168"/>
      <c r="C5" s="628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</row>
    <row r="6" spans="1:20" s="108" customFormat="1" ht="24" customHeight="1">
      <c r="A6" s="173"/>
      <c r="C6" s="284" t="s">
        <v>3</v>
      </c>
      <c r="D6" s="1435" t="s">
        <v>179</v>
      </c>
      <c r="E6" s="1435"/>
      <c r="F6" s="1435"/>
      <c r="G6" s="1436" t="s">
        <v>180</v>
      </c>
      <c r="H6" s="1435"/>
      <c r="I6" s="1437"/>
      <c r="J6" s="1435" t="s">
        <v>181</v>
      </c>
      <c r="K6" s="1435"/>
      <c r="L6" s="1435"/>
      <c r="M6" s="1436" t="s">
        <v>182</v>
      </c>
      <c r="N6" s="1435"/>
      <c r="O6" s="1437"/>
      <c r="P6" s="1435" t="s">
        <v>183</v>
      </c>
      <c r="Q6" s="1435"/>
      <c r="R6" s="1435"/>
    </row>
    <row r="7" spans="1:20" s="108" customFormat="1" ht="24" customHeight="1">
      <c r="A7" s="173"/>
      <c r="C7" s="497" t="s">
        <v>177</v>
      </c>
      <c r="D7" s="710" t="s">
        <v>184</v>
      </c>
      <c r="E7" s="710" t="s">
        <v>185</v>
      </c>
      <c r="F7" s="702" t="s">
        <v>186</v>
      </c>
      <c r="G7" s="711" t="s">
        <v>187</v>
      </c>
      <c r="H7" s="712" t="s">
        <v>185</v>
      </c>
      <c r="I7" s="703" t="s">
        <v>186</v>
      </c>
      <c r="J7" s="710" t="s">
        <v>184</v>
      </c>
      <c r="K7" s="710" t="s">
        <v>185</v>
      </c>
      <c r="L7" s="702" t="s">
        <v>186</v>
      </c>
      <c r="M7" s="713" t="s">
        <v>184</v>
      </c>
      <c r="N7" s="710" t="s">
        <v>185</v>
      </c>
      <c r="O7" s="703" t="s">
        <v>186</v>
      </c>
      <c r="P7" s="710" t="s">
        <v>184</v>
      </c>
      <c r="Q7" s="710" t="s">
        <v>185</v>
      </c>
      <c r="R7" s="702" t="s">
        <v>186</v>
      </c>
    </row>
    <row r="8" spans="1:20" s="108" customFormat="1" ht="24" customHeight="1">
      <c r="A8" s="173"/>
      <c r="C8" s="714" t="s">
        <v>166</v>
      </c>
      <c r="D8" s="642">
        <v>35073.103999999999</v>
      </c>
      <c r="E8" s="642">
        <v>80.817999999999998</v>
      </c>
      <c r="F8" s="630">
        <f t="shared" ref="F8:F13" si="0">E8/D8*100</f>
        <v>0.23042728125802608</v>
      </c>
      <c r="G8" s="653">
        <v>71748.179000000004</v>
      </c>
      <c r="H8" s="1087">
        <v>231.25899999999999</v>
      </c>
      <c r="I8" s="1024">
        <f t="shared" ref="I8:I13" si="1">H8/G8*100</f>
        <v>0.32232037554569848</v>
      </c>
      <c r="J8" s="642">
        <v>103640.78200000001</v>
      </c>
      <c r="K8" s="642">
        <v>59.859000000000002</v>
      </c>
      <c r="L8" s="630">
        <f t="shared" ref="L8:L13" si="2">K8/J8*100</f>
        <v>5.7756221870267237E-2</v>
      </c>
      <c r="M8" s="1111">
        <v>3201.0839999999998</v>
      </c>
      <c r="N8" s="642">
        <v>6.6280000000000001</v>
      </c>
      <c r="O8" s="1024">
        <f t="shared" ref="O8:O13" si="3">N8/M8*100</f>
        <v>0.20705486016611876</v>
      </c>
      <c r="P8" s="1112">
        <f t="shared" ref="P8:Q12" si="4">D8+G8+J8+M8</f>
        <v>213663.149</v>
      </c>
      <c r="Q8" s="1112">
        <f t="shared" si="4"/>
        <v>378.56399999999996</v>
      </c>
      <c r="R8" s="1113">
        <f t="shared" ref="R8:R13" si="5">Q8/P8*100</f>
        <v>0.1771779559422294</v>
      </c>
      <c r="S8" s="297"/>
      <c r="T8" s="297"/>
    </row>
    <row r="9" spans="1:20" s="108" customFormat="1" ht="24" customHeight="1">
      <c r="A9" s="173"/>
      <c r="C9" s="714" t="s">
        <v>167</v>
      </c>
      <c r="D9" s="642">
        <v>353.02300000000002</v>
      </c>
      <c r="E9" s="642">
        <v>165.76599999999999</v>
      </c>
      <c r="F9" s="630">
        <f t="shared" si="0"/>
        <v>46.956147333176581</v>
      </c>
      <c r="G9" s="653">
        <v>688.21400000000006</v>
      </c>
      <c r="H9" s="1087">
        <v>67.978999999999999</v>
      </c>
      <c r="I9" s="1024">
        <f t="shared" si="1"/>
        <v>9.8775962128058996</v>
      </c>
      <c r="J9" s="642">
        <v>328.85199999999998</v>
      </c>
      <c r="K9" s="642">
        <v>43.582999999999998</v>
      </c>
      <c r="L9" s="630">
        <f t="shared" si="2"/>
        <v>13.253074331310133</v>
      </c>
      <c r="M9" s="1111">
        <v>20.369</v>
      </c>
      <c r="N9" s="642">
        <v>10.429</v>
      </c>
      <c r="O9" s="1024">
        <f t="shared" si="3"/>
        <v>51.200353478324914</v>
      </c>
      <c r="P9" s="1112">
        <f t="shared" si="4"/>
        <v>1390.4579999999999</v>
      </c>
      <c r="Q9" s="1112">
        <f t="shared" si="4"/>
        <v>287.75699999999995</v>
      </c>
      <c r="R9" s="1113">
        <f t="shared" si="5"/>
        <v>20.695123477300285</v>
      </c>
      <c r="S9" s="297"/>
      <c r="T9" s="297"/>
    </row>
    <row r="10" spans="1:20" s="108" customFormat="1" ht="24" customHeight="1">
      <c r="A10" s="173"/>
      <c r="C10" s="714" t="s">
        <v>168</v>
      </c>
      <c r="D10" s="642">
        <v>196.49299999999999</v>
      </c>
      <c r="E10" s="642">
        <v>34.850999999999999</v>
      </c>
      <c r="F10" s="630">
        <f>E10/D10*100</f>
        <v>17.736509697546477</v>
      </c>
      <c r="G10" s="653">
        <v>383.08100000000002</v>
      </c>
      <c r="H10" s="1087">
        <v>66.418999999999997</v>
      </c>
      <c r="I10" s="1024">
        <f t="shared" si="1"/>
        <v>17.338108650650906</v>
      </c>
      <c r="J10" s="642">
        <v>176.17400000000001</v>
      </c>
      <c r="K10" s="642">
        <v>4.306</v>
      </c>
      <c r="L10" s="630">
        <f t="shared" si="2"/>
        <v>2.4441745092919498</v>
      </c>
      <c r="M10" s="1111">
        <v>5.3760000000000003</v>
      </c>
      <c r="N10" s="642">
        <v>1.5580000000000001</v>
      </c>
      <c r="O10" s="1024">
        <f t="shared" si="3"/>
        <v>28.980654761904763</v>
      </c>
      <c r="P10" s="1112">
        <f t="shared" si="4"/>
        <v>761.12400000000002</v>
      </c>
      <c r="Q10" s="1112">
        <f t="shared" si="4"/>
        <v>107.134</v>
      </c>
      <c r="R10" s="1113">
        <f t="shared" si="5"/>
        <v>14.075761636737246</v>
      </c>
      <c r="S10" s="297"/>
      <c r="T10" s="297"/>
    </row>
    <row r="11" spans="1:20" s="108" customFormat="1" ht="24" customHeight="1">
      <c r="A11" s="173"/>
      <c r="C11" s="714" t="s">
        <v>169</v>
      </c>
      <c r="D11" s="642">
        <v>350.166</v>
      </c>
      <c r="E11" s="642">
        <v>288.178</v>
      </c>
      <c r="F11" s="630">
        <f t="shared" si="0"/>
        <v>82.297538881559035</v>
      </c>
      <c r="G11" s="653">
        <v>285.78199999999998</v>
      </c>
      <c r="H11" s="1087">
        <v>153.66900000000001</v>
      </c>
      <c r="I11" s="1024">
        <f t="shared" si="1"/>
        <v>53.771406176736122</v>
      </c>
      <c r="J11" s="642">
        <v>57.262999999999998</v>
      </c>
      <c r="K11" s="642">
        <v>38.582999999999998</v>
      </c>
      <c r="L11" s="630">
        <f t="shared" si="2"/>
        <v>67.378586521837832</v>
      </c>
      <c r="M11" s="1111">
        <v>0.60599999999999998</v>
      </c>
      <c r="N11" s="642">
        <v>0.47</v>
      </c>
      <c r="O11" s="1024">
        <f t="shared" si="3"/>
        <v>77.557755775577547</v>
      </c>
      <c r="P11" s="1112">
        <f t="shared" si="4"/>
        <v>693.81700000000001</v>
      </c>
      <c r="Q11" s="1112">
        <f t="shared" si="4"/>
        <v>480.9</v>
      </c>
      <c r="R11" s="1113">
        <f t="shared" si="5"/>
        <v>69.312224981515286</v>
      </c>
      <c r="S11" s="297"/>
      <c r="T11" s="297"/>
    </row>
    <row r="12" spans="1:20" s="108" customFormat="1" ht="24" customHeight="1">
      <c r="A12" s="173"/>
      <c r="C12" s="714" t="s">
        <v>170</v>
      </c>
      <c r="D12" s="642">
        <v>89.397999999999996</v>
      </c>
      <c r="E12" s="642">
        <v>71.826999999999998</v>
      </c>
      <c r="F12" s="630">
        <f>E12/D12*100</f>
        <v>80.345197879147193</v>
      </c>
      <c r="G12" s="653">
        <v>201.50299999999999</v>
      </c>
      <c r="H12" s="1087">
        <v>158.44800000000001</v>
      </c>
      <c r="I12" s="1024">
        <f t="shared" si="1"/>
        <v>78.633072460459658</v>
      </c>
      <c r="J12" s="642">
        <v>32.180999999999997</v>
      </c>
      <c r="K12" s="642">
        <v>23.210999999999999</v>
      </c>
      <c r="L12" s="630">
        <f t="shared" si="2"/>
        <v>72.126409993474411</v>
      </c>
      <c r="M12" s="1111">
        <v>0.22700000000000001</v>
      </c>
      <c r="N12" s="642">
        <v>0.09</v>
      </c>
      <c r="O12" s="1024">
        <f t="shared" si="3"/>
        <v>39.647577092511014</v>
      </c>
      <c r="P12" s="1112">
        <f t="shared" si="4"/>
        <v>323.30899999999991</v>
      </c>
      <c r="Q12" s="1112">
        <f t="shared" si="4"/>
        <v>253.57599999999999</v>
      </c>
      <c r="R12" s="1113">
        <f t="shared" si="5"/>
        <v>78.431469584824441</v>
      </c>
      <c r="S12" s="297"/>
      <c r="T12" s="297"/>
    </row>
    <row r="13" spans="1:20" s="108" customFormat="1" ht="24" customHeight="1">
      <c r="A13" s="173"/>
      <c r="C13" s="715" t="s">
        <v>171</v>
      </c>
      <c r="D13" s="958">
        <f>SUM(D8:D12)</f>
        <v>36062.184000000001</v>
      </c>
      <c r="E13" s="957">
        <f>SUM(E8:E12)</f>
        <v>641.44000000000005</v>
      </c>
      <c r="F13" s="630">
        <f t="shared" si="0"/>
        <v>1.778705360718031</v>
      </c>
      <c r="G13" s="958">
        <f>SUM(G8:G12)</f>
        <v>73306.75900000002</v>
      </c>
      <c r="H13" s="586">
        <f>SUM(H8:H12)</f>
        <v>677.774</v>
      </c>
      <c r="I13" s="1024">
        <f t="shared" si="1"/>
        <v>0.92457231672184537</v>
      </c>
      <c r="J13" s="957">
        <f>SUM(J8:J12)</f>
        <v>104235.25200000001</v>
      </c>
      <c r="K13" s="957">
        <f>SUM(K8:K12)</f>
        <v>169.54200000000003</v>
      </c>
      <c r="L13" s="630">
        <f t="shared" si="2"/>
        <v>0.16265322599306425</v>
      </c>
      <c r="M13" s="961">
        <f>SUM(M8:M12)</f>
        <v>3227.6620000000003</v>
      </c>
      <c r="N13" s="957">
        <f>SUM(N8:N12)</f>
        <v>19.175000000000001</v>
      </c>
      <c r="O13" s="1024">
        <f t="shared" si="3"/>
        <v>0.59408327142061346</v>
      </c>
      <c r="P13" s="1114">
        <f>SUM(P8:P12)</f>
        <v>216831.85700000005</v>
      </c>
      <c r="Q13" s="1114">
        <f>SUM(Q8:Q12)</f>
        <v>1507.931</v>
      </c>
      <c r="R13" s="1115">
        <f t="shared" si="5"/>
        <v>0.69543794019160188</v>
      </c>
      <c r="S13" s="297"/>
      <c r="T13" s="297"/>
    </row>
    <row r="14" spans="1:20" s="108" customFormat="1" ht="24" customHeight="1">
      <c r="A14" s="173"/>
      <c r="C14" s="714" t="s">
        <v>172</v>
      </c>
      <c r="D14" s="956">
        <f>SUM(D9:D12)</f>
        <v>989.08</v>
      </c>
      <c r="E14" s="940"/>
      <c r="F14" s="943"/>
      <c r="G14" s="959">
        <f>SUM(G9:G12)</f>
        <v>1558.58</v>
      </c>
      <c r="H14" s="1023"/>
      <c r="I14" s="944"/>
      <c r="J14" s="956">
        <f>SUM(J9:J12)</f>
        <v>594.47</v>
      </c>
      <c r="K14" s="945"/>
      <c r="L14" s="941"/>
      <c r="M14" s="960">
        <f>SUM(M9:M12)</f>
        <v>26.578000000000003</v>
      </c>
      <c r="N14" s="945"/>
      <c r="O14" s="942"/>
      <c r="P14" s="1112">
        <f>D14+M14+J14+G14</f>
        <v>3168.7080000000001</v>
      </c>
      <c r="Q14" s="1116"/>
      <c r="R14" s="1117"/>
      <c r="S14" s="297"/>
      <c r="T14" s="297"/>
    </row>
    <row r="15" spans="1:20" s="108" customFormat="1" ht="24" customHeight="1">
      <c r="A15" s="173"/>
      <c r="C15" s="714" t="s">
        <v>173</v>
      </c>
      <c r="D15" s="956">
        <f>SUM(D10:D12)</f>
        <v>636.05700000000002</v>
      </c>
      <c r="E15" s="940"/>
      <c r="F15" s="943"/>
      <c r="G15" s="959">
        <f>SUM(G10:G12)</f>
        <v>870.36599999999999</v>
      </c>
      <c r="H15" s="943"/>
      <c r="I15" s="944"/>
      <c r="J15" s="956">
        <f>SUM(J10:J12)</f>
        <v>265.61799999999999</v>
      </c>
      <c r="K15" s="945"/>
      <c r="L15" s="941"/>
      <c r="M15" s="960">
        <f>SUM(M10:M12)</f>
        <v>6.2090000000000005</v>
      </c>
      <c r="N15" s="945"/>
      <c r="O15" s="942"/>
      <c r="P15" s="1112">
        <f>D15+M15+J15+G15</f>
        <v>1778.25</v>
      </c>
      <c r="Q15" s="1116"/>
      <c r="R15" s="1118">
        <f>P15/P13*100</f>
        <v>0.82010550691358952</v>
      </c>
      <c r="S15" s="297"/>
      <c r="T15" s="297"/>
    </row>
    <row r="16" spans="1:20" s="108" customFormat="1" ht="24" customHeight="1">
      <c r="A16" s="173"/>
      <c r="C16" s="635"/>
      <c r="D16" s="631"/>
      <c r="E16" s="631"/>
      <c r="F16" s="631"/>
      <c r="G16" s="632"/>
      <c r="H16" s="631"/>
      <c r="I16" s="631"/>
      <c r="J16" s="631"/>
      <c r="K16" s="631"/>
      <c r="L16" s="631"/>
      <c r="M16" s="631"/>
      <c r="N16" s="631"/>
      <c r="O16" s="631"/>
      <c r="P16" s="1119"/>
      <c r="Q16" s="1120"/>
      <c r="R16" s="1120"/>
      <c r="S16" s="297"/>
      <c r="T16" s="297"/>
    </row>
    <row r="17" spans="1:20" s="108" customFormat="1" ht="24" customHeight="1">
      <c r="A17" s="755"/>
      <c r="C17" s="639" t="s">
        <v>178</v>
      </c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1121"/>
      <c r="Q17" s="1121"/>
      <c r="R17" s="1121"/>
      <c r="S17" s="297"/>
      <c r="T17" s="297"/>
    </row>
    <row r="18" spans="1:20" s="108" customFormat="1" ht="24" customHeight="1">
      <c r="A18" s="173"/>
      <c r="C18" s="1361" t="s">
        <v>416</v>
      </c>
      <c r="D18" s="1362"/>
      <c r="E18" s="1362"/>
      <c r="F18" s="632">
        <f>E13/D15*100</f>
        <v>100.84630779945823</v>
      </c>
      <c r="G18" s="1363"/>
      <c r="H18" s="632"/>
      <c r="I18" s="1364">
        <f>H13/G15*100</f>
        <v>77.872297401323124</v>
      </c>
      <c r="J18" s="632"/>
      <c r="K18" s="632"/>
      <c r="L18" s="632">
        <f>K13/J15*100</f>
        <v>63.829258559284398</v>
      </c>
      <c r="M18" s="1363"/>
      <c r="N18" s="632"/>
      <c r="O18" s="1364">
        <f>N13/M15*100</f>
        <v>308.82589789015941</v>
      </c>
      <c r="P18" s="1365"/>
      <c r="Q18" s="1365"/>
      <c r="R18" s="1119">
        <f>(Q13+3.2)/P15*100</f>
        <v>84.978546323632784</v>
      </c>
      <c r="S18" s="285" t="s">
        <v>555</v>
      </c>
      <c r="T18" s="997"/>
    </row>
    <row r="19" spans="1:20" s="108" customFormat="1" ht="24" customHeight="1" thickBot="1">
      <c r="A19" s="173"/>
      <c r="C19" s="716" t="s">
        <v>175</v>
      </c>
      <c r="D19" s="634"/>
      <c r="E19" s="634"/>
      <c r="F19" s="1125">
        <f>E13/D13*100</f>
        <v>1.778705360718031</v>
      </c>
      <c r="G19" s="1126"/>
      <c r="H19" s="1125"/>
      <c r="I19" s="1127">
        <f>H13/G13*100</f>
        <v>0.92457231672184537</v>
      </c>
      <c r="J19" s="1125"/>
      <c r="K19" s="1125"/>
      <c r="L19" s="1125">
        <f>K13/J13*100</f>
        <v>0.16265322599306425</v>
      </c>
      <c r="M19" s="1126"/>
      <c r="N19" s="1125"/>
      <c r="O19" s="1127">
        <f>N13/M13*100</f>
        <v>0.59408327142061346</v>
      </c>
      <c r="P19" s="1122"/>
      <c r="Q19" s="1122"/>
      <c r="R19" s="1123">
        <f>Q13/P13*100</f>
        <v>0.69543794019160188</v>
      </c>
      <c r="S19" s="297"/>
      <c r="T19" s="297"/>
    </row>
    <row r="20" spans="1:20" s="108" customFormat="1" ht="11.25">
      <c r="A20" s="173"/>
      <c r="C20" s="298"/>
      <c r="D20" s="298"/>
      <c r="E20" s="298"/>
      <c r="F20" s="298"/>
      <c r="G20" s="1124"/>
      <c r="H20" s="298"/>
      <c r="I20" s="298"/>
      <c r="J20" s="298"/>
      <c r="K20" s="298"/>
      <c r="L20" s="298"/>
      <c r="M20" s="298"/>
      <c r="N20" s="298"/>
      <c r="O20" s="299"/>
      <c r="P20" s="299"/>
      <c r="Q20" s="299"/>
      <c r="R20" s="299"/>
    </row>
    <row r="21" spans="1:20" s="108" customFormat="1" ht="15" customHeight="1">
      <c r="A21" s="173"/>
      <c r="C21" s="500" t="s">
        <v>549</v>
      </c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</row>
    <row r="22" spans="1:20" s="108" customFormat="1" ht="15" customHeight="1">
      <c r="A22" s="173"/>
      <c r="C22" s="500" t="s">
        <v>559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</row>
    <row r="23" spans="1:20" ht="13.5" customHeight="1">
      <c r="A23" s="168"/>
      <c r="C23" s="500" t="s">
        <v>560</v>
      </c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</row>
    <row r="24" spans="1:20" ht="13.5" customHeight="1">
      <c r="A24" s="168"/>
      <c r="C24" s="1353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</row>
    <row r="25" spans="1:20" ht="13.5" customHeight="1">
      <c r="A25" s="168"/>
      <c r="C25" s="1353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</row>
    <row r="26" spans="1:20">
      <c r="A26" s="168"/>
    </row>
    <row r="27" spans="1:20">
      <c r="D27" s="62"/>
      <c r="E27" s="62"/>
      <c r="F27" s="62"/>
      <c r="G27" s="62"/>
    </row>
    <row r="28" spans="1:20">
      <c r="D28" s="62"/>
      <c r="E28" s="62"/>
      <c r="F28" s="62"/>
      <c r="G28" s="62"/>
    </row>
    <row r="29" spans="1:20">
      <c r="D29" s="62"/>
      <c r="E29" s="62"/>
      <c r="F29" s="62"/>
      <c r="G29" s="62"/>
    </row>
    <row r="30" spans="1:20">
      <c r="D30" s="62"/>
      <c r="E30" s="62"/>
      <c r="F30" s="62"/>
      <c r="G30" s="62"/>
    </row>
    <row r="31" spans="1:20">
      <c r="D31" s="62"/>
      <c r="E31" s="62"/>
      <c r="F31" s="62"/>
      <c r="G31" s="62"/>
    </row>
    <row r="32" spans="1:20">
      <c r="D32" s="62"/>
      <c r="E32" s="62"/>
      <c r="F32" s="62"/>
      <c r="G32" s="62"/>
    </row>
  </sheetData>
  <mergeCells count="6">
    <mergeCell ref="C1:S1"/>
    <mergeCell ref="D6:F6"/>
    <mergeCell ref="G6:I6"/>
    <mergeCell ref="J6:L6"/>
    <mergeCell ref="M6:O6"/>
    <mergeCell ref="P6:R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7"/>
  <sheetViews>
    <sheetView showGridLines="0" view="pageBreakPreview" zoomScale="80" zoomScaleNormal="85" zoomScaleSheetLayoutView="80" workbookViewId="0">
      <selection activeCell="C32" sqref="C32:C33"/>
    </sheetView>
  </sheetViews>
  <sheetFormatPr defaultRowHeight="15"/>
  <cols>
    <col min="1" max="1" width="20.140625" style="77" customWidth="1"/>
    <col min="2" max="2" width="3" style="77" customWidth="1"/>
    <col min="3" max="3" width="25.140625" style="77" customWidth="1"/>
    <col min="4" max="4" width="1.85546875" style="77" customWidth="1"/>
    <col min="5" max="8" width="10.28515625" style="77" customWidth="1"/>
    <col min="9" max="9" width="1.85546875" style="77" customWidth="1"/>
    <col min="10" max="13" width="10.28515625" style="77" customWidth="1"/>
    <col min="14" max="14" width="2.140625" style="77" customWidth="1"/>
    <col min="15" max="18" width="10.28515625" style="77" customWidth="1"/>
    <col min="19" max="19" width="2.140625" style="77" customWidth="1"/>
    <col min="20" max="23" width="10.28515625" style="77" customWidth="1"/>
    <col min="24" max="24" width="1.7109375" style="77" customWidth="1"/>
    <col min="25" max="16384" width="9.140625" style="77"/>
  </cols>
  <sheetData>
    <row r="1" spans="1:24" ht="40.5" customHeight="1">
      <c r="A1" s="812"/>
      <c r="B1" s="167"/>
      <c r="C1" s="1405" t="s">
        <v>464</v>
      </c>
      <c r="D1" s="1405"/>
      <c r="E1" s="1405"/>
      <c r="F1" s="1405"/>
      <c r="G1" s="1405"/>
      <c r="H1" s="1405"/>
      <c r="I1" s="1405"/>
      <c r="J1" s="1405"/>
      <c r="K1" s="1405"/>
      <c r="L1" s="1405"/>
      <c r="M1" s="1405"/>
      <c r="N1" s="1405"/>
      <c r="O1" s="1405"/>
      <c r="P1" s="1405"/>
      <c r="Q1" s="1405"/>
      <c r="R1" s="1405"/>
      <c r="S1" s="1405"/>
      <c r="T1" s="1405"/>
      <c r="U1" s="1405"/>
      <c r="V1" s="1405"/>
      <c r="W1" s="1405"/>
      <c r="X1" s="1405"/>
    </row>
    <row r="2" spans="1:24" ht="69" customHeight="1">
      <c r="A2" s="168"/>
    </row>
    <row r="3" spans="1:24" ht="27.75" customHeight="1">
      <c r="A3" s="168"/>
      <c r="E3" s="1435" t="s">
        <v>201</v>
      </c>
      <c r="F3" s="1435"/>
      <c r="G3" s="1435"/>
      <c r="H3" s="1435"/>
      <c r="J3" s="1441" t="s">
        <v>202</v>
      </c>
      <c r="K3" s="1441"/>
      <c r="L3" s="1441"/>
      <c r="M3" s="1441"/>
      <c r="N3" s="1441"/>
      <c r="O3" s="1441"/>
      <c r="P3" s="1441"/>
      <c r="Q3" s="1441"/>
      <c r="R3" s="1441"/>
      <c r="S3" s="1441"/>
      <c r="T3" s="1441"/>
      <c r="U3" s="1441"/>
      <c r="V3" s="1441"/>
      <c r="W3" s="1441"/>
    </row>
    <row r="4" spans="1:24" ht="3" customHeight="1">
      <c r="A4" s="168"/>
      <c r="E4" s="1435"/>
      <c r="F4" s="1435"/>
      <c r="G4" s="1435"/>
      <c r="H4" s="1435"/>
      <c r="I4" s="311"/>
      <c r="J4" s="171"/>
      <c r="K4" s="171"/>
      <c r="L4" s="171"/>
      <c r="M4" s="171"/>
      <c r="N4" s="311"/>
      <c r="O4" s="171"/>
      <c r="P4" s="171"/>
      <c r="Q4" s="171"/>
      <c r="R4" s="171"/>
      <c r="S4" s="311"/>
      <c r="T4" s="171"/>
      <c r="U4" s="171"/>
      <c r="V4" s="171"/>
      <c r="W4" s="171"/>
      <c r="X4" s="311"/>
    </row>
    <row r="5" spans="1:24" s="47" customFormat="1" ht="33" customHeight="1">
      <c r="A5" s="312"/>
      <c r="C5" s="313"/>
      <c r="D5" s="175"/>
      <c r="E5" s="1435"/>
      <c r="F5" s="1435"/>
      <c r="G5" s="1435"/>
      <c r="H5" s="1435"/>
      <c r="I5" s="314"/>
      <c r="J5" s="1435" t="s">
        <v>179</v>
      </c>
      <c r="K5" s="1435"/>
      <c r="L5" s="1435"/>
      <c r="M5" s="1435"/>
      <c r="N5" s="314"/>
      <c r="O5" s="1435" t="s">
        <v>180</v>
      </c>
      <c r="P5" s="1435"/>
      <c r="Q5" s="1435"/>
      <c r="R5" s="1435"/>
      <c r="S5" s="314"/>
      <c r="T5" s="1435" t="s">
        <v>181</v>
      </c>
      <c r="U5" s="1435"/>
      <c r="V5" s="1435"/>
      <c r="W5" s="1435"/>
      <c r="X5" s="175" t="s">
        <v>0</v>
      </c>
    </row>
    <row r="6" spans="1:24" s="47" customFormat="1" ht="31.5" customHeight="1">
      <c r="A6" s="312"/>
      <c r="C6" s="313" t="s">
        <v>385</v>
      </c>
      <c r="D6" s="176"/>
      <c r="E6" s="709" t="s">
        <v>502</v>
      </c>
      <c r="F6" s="709" t="s">
        <v>498</v>
      </c>
      <c r="G6" s="709" t="s">
        <v>492</v>
      </c>
      <c r="H6" s="709" t="s">
        <v>490</v>
      </c>
      <c r="I6" s="176"/>
      <c r="J6" s="709" t="str">
        <f>+E6</f>
        <v>2Q17</v>
      </c>
      <c r="K6" s="709" t="str">
        <f>+F6</f>
        <v>1Q17</v>
      </c>
      <c r="L6" s="709" t="str">
        <f>+G6</f>
        <v>4Q16</v>
      </c>
      <c r="M6" s="709" t="str">
        <f>+H6</f>
        <v>3Q16</v>
      </c>
      <c r="N6" s="176"/>
      <c r="O6" s="709" t="str">
        <f>E6</f>
        <v>2Q17</v>
      </c>
      <c r="P6" s="709" t="str">
        <f>F6</f>
        <v>1Q17</v>
      </c>
      <c r="Q6" s="709" t="str">
        <f>G6</f>
        <v>4Q16</v>
      </c>
      <c r="R6" s="709" t="str">
        <f>H6</f>
        <v>3Q16</v>
      </c>
      <c r="S6" s="176"/>
      <c r="T6" s="709" t="str">
        <f>+E6</f>
        <v>2Q17</v>
      </c>
      <c r="U6" s="709" t="str">
        <f>+F6</f>
        <v>1Q17</v>
      </c>
      <c r="V6" s="709" t="str">
        <f>+G6</f>
        <v>4Q16</v>
      </c>
      <c r="W6" s="709" t="str">
        <f>+H6</f>
        <v>3Q16</v>
      </c>
      <c r="X6" s="176"/>
    </row>
    <row r="7" spans="1:24" s="47" customFormat="1" ht="17.25" customHeight="1">
      <c r="A7" s="312"/>
      <c r="C7" s="628"/>
      <c r="D7" s="176"/>
      <c r="E7" s="176"/>
      <c r="F7" s="176"/>
      <c r="G7" s="176"/>
      <c r="H7" s="176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176"/>
    </row>
    <row r="8" spans="1:24" s="47" customFormat="1" ht="9" customHeight="1" thickBot="1">
      <c r="A8" s="312"/>
      <c r="D8" s="176"/>
      <c r="E8" s="655"/>
      <c r="F8" s="655"/>
      <c r="G8" s="655"/>
      <c r="H8" s="655"/>
      <c r="I8" s="482"/>
      <c r="J8" s="655"/>
      <c r="K8" s="655"/>
      <c r="L8" s="655"/>
      <c r="M8" s="655"/>
      <c r="N8" s="482"/>
      <c r="O8" s="655"/>
      <c r="P8" s="655"/>
      <c r="Q8" s="655"/>
      <c r="R8" s="655"/>
      <c r="S8" s="482"/>
      <c r="T8" s="655"/>
      <c r="U8" s="655"/>
      <c r="V8" s="655"/>
      <c r="W8" s="655"/>
      <c r="X8" s="176"/>
    </row>
    <row r="9" spans="1:24" s="47" customFormat="1" ht="38.25" customHeight="1">
      <c r="A9" s="312"/>
      <c r="C9" s="699" t="s">
        <v>194</v>
      </c>
      <c r="D9" s="306"/>
      <c r="E9" s="1128">
        <v>209750.13399999999</v>
      </c>
      <c r="F9" s="1128">
        <v>208461.8</v>
      </c>
      <c r="G9" s="1128">
        <v>208558.3</v>
      </c>
      <c r="H9" s="1128">
        <v>207016.9</v>
      </c>
      <c r="I9" s="1050"/>
      <c r="J9" s="1128">
        <v>16620.28</v>
      </c>
      <c r="K9" s="1128">
        <v>17557</v>
      </c>
      <c r="L9" s="1128">
        <v>17737.976999999999</v>
      </c>
      <c r="M9" s="1128">
        <v>20369.400000000001</v>
      </c>
      <c r="N9" s="1050"/>
      <c r="O9" s="1128">
        <v>69120.789000000004</v>
      </c>
      <c r="P9" s="1128">
        <v>68044.899999999994</v>
      </c>
      <c r="Q9" s="1128">
        <v>66372.047999999995</v>
      </c>
      <c r="R9" s="1128">
        <v>66649.899999999994</v>
      </c>
      <c r="S9" s="1050"/>
      <c r="T9" s="1128">
        <v>104205.139</v>
      </c>
      <c r="U9" s="1128">
        <v>103402.1</v>
      </c>
      <c r="V9" s="1128">
        <v>102547.561</v>
      </c>
      <c r="W9" s="1128">
        <v>99288.9</v>
      </c>
      <c r="X9" s="315"/>
    </row>
    <row r="10" spans="1:24" s="47" customFormat="1" ht="38.25" customHeight="1">
      <c r="A10" s="312"/>
      <c r="C10" s="680" t="s">
        <v>195</v>
      </c>
      <c r="D10" s="306"/>
      <c r="E10" s="1129">
        <v>873.96900000000005</v>
      </c>
      <c r="F10" s="1129">
        <v>934.4</v>
      </c>
      <c r="G10" s="1129">
        <v>961.1</v>
      </c>
      <c r="H10" s="1129">
        <v>1208.8</v>
      </c>
      <c r="I10" s="1050"/>
      <c r="J10" s="1129">
        <v>34.433999999999997</v>
      </c>
      <c r="K10" s="1129">
        <v>47.9</v>
      </c>
      <c r="L10" s="1129">
        <v>37.531999999999996</v>
      </c>
      <c r="M10" s="1129">
        <v>74.400000000000006</v>
      </c>
      <c r="N10" s="1050"/>
      <c r="O10" s="1129">
        <v>493.036</v>
      </c>
      <c r="P10" s="1129">
        <v>500.4</v>
      </c>
      <c r="Q10" s="1129">
        <v>477.74799999999993</v>
      </c>
      <c r="R10" s="1129">
        <v>636</v>
      </c>
      <c r="S10" s="1050"/>
      <c r="T10" s="1129">
        <v>296.68200000000002</v>
      </c>
      <c r="U10" s="1129">
        <v>304.89999999999998</v>
      </c>
      <c r="V10" s="1129">
        <v>312.78499999999997</v>
      </c>
      <c r="W10" s="1129">
        <v>342.8</v>
      </c>
      <c r="X10" s="315"/>
    </row>
    <row r="11" spans="1:24" s="317" customFormat="1" ht="38.25" customHeight="1">
      <c r="A11" s="316"/>
      <c r="C11" s="707" t="s">
        <v>196</v>
      </c>
      <c r="D11" s="308"/>
      <c r="E11" s="1130">
        <f>E10/E9*100</f>
        <v>0.41667148589282904</v>
      </c>
      <c r="F11" s="1130">
        <f>F10/F9*100</f>
        <v>0.44823559999961626</v>
      </c>
      <c r="G11" s="1130">
        <f>G10/G9*100</f>
        <v>0.46083037692578055</v>
      </c>
      <c r="H11" s="1130">
        <f>H10/H9*100</f>
        <v>0.58391368047729431</v>
      </c>
      <c r="I11" s="412"/>
      <c r="J11" s="1130">
        <f>J10/J9*100</f>
        <v>0.20718062511582233</v>
      </c>
      <c r="K11" s="1130">
        <f>K10/K9*100</f>
        <v>0.27282565358546446</v>
      </c>
      <c r="L11" s="1130">
        <f>L10/L9*100</f>
        <v>0.21159120907643528</v>
      </c>
      <c r="M11" s="1130">
        <f>M10/M9*100</f>
        <v>0.36525376299743734</v>
      </c>
      <c r="N11" s="412"/>
      <c r="O11" s="1130">
        <f>O10/O9*100</f>
        <v>0.71329625592092127</v>
      </c>
      <c r="P11" s="1130">
        <f>P10/P9*100</f>
        <v>0.73539677477665488</v>
      </c>
      <c r="Q11" s="1130">
        <f>Q10/Q9*100</f>
        <v>0.71980301105067601</v>
      </c>
      <c r="R11" s="1130">
        <f>R10/R9*100</f>
        <v>0.95423999135782656</v>
      </c>
      <c r="S11" s="412"/>
      <c r="T11" s="1130">
        <f>T10/T9*100</f>
        <v>0.2847095669629115</v>
      </c>
      <c r="U11" s="1130">
        <f>U10/U9*100</f>
        <v>0.29486828604061227</v>
      </c>
      <c r="V11" s="1130">
        <f>V10/V9*100</f>
        <v>0.30501456782575254</v>
      </c>
      <c r="W11" s="1130">
        <f>W10/W9*100</f>
        <v>0.3452551090806727</v>
      </c>
      <c r="X11" s="318"/>
    </row>
    <row r="12" spans="1:24" s="47" customFormat="1" ht="38.25" customHeight="1">
      <c r="A12" s="312"/>
      <c r="C12" s="680" t="s">
        <v>197</v>
      </c>
      <c r="D12" s="306"/>
      <c r="E12" s="1129">
        <v>149.07038792899999</v>
      </c>
      <c r="F12" s="1129">
        <v>122.9</v>
      </c>
      <c r="G12" s="1129">
        <v>221.1</v>
      </c>
      <c r="H12" s="1129">
        <v>348.2</v>
      </c>
      <c r="I12" s="1050"/>
      <c r="J12" s="1131">
        <v>4.2347916359999997</v>
      </c>
      <c r="K12" s="1131">
        <v>0.2</v>
      </c>
      <c r="L12" s="1131">
        <v>34.095895577999997</v>
      </c>
      <c r="M12" s="1131">
        <v>117.746716347</v>
      </c>
      <c r="N12" s="1051"/>
      <c r="O12" s="1131">
        <v>103.71091755</v>
      </c>
      <c r="P12" s="1131">
        <v>61</v>
      </c>
      <c r="Q12" s="1131">
        <v>106.610795978</v>
      </c>
      <c r="R12" s="1131">
        <v>140.31224516899999</v>
      </c>
      <c r="S12" s="1051"/>
      <c r="T12" s="1131">
        <v>31.091580347000001</v>
      </c>
      <c r="U12" s="1131">
        <v>35.6</v>
      </c>
      <c r="V12" s="1131">
        <v>34.561665281000003</v>
      </c>
      <c r="W12" s="1131">
        <v>49.138404993000002</v>
      </c>
      <c r="X12" s="315"/>
    </row>
    <row r="13" spans="1:24" s="47" customFormat="1" ht="38.25" customHeight="1">
      <c r="A13" s="312"/>
      <c r="C13" s="680" t="s">
        <v>198</v>
      </c>
      <c r="D13" s="306"/>
      <c r="E13" s="1129">
        <v>56.553590403000001</v>
      </c>
      <c r="F13" s="1129">
        <v>55.8</v>
      </c>
      <c r="G13" s="1129">
        <v>45.8</v>
      </c>
      <c r="H13" s="1129">
        <v>71.900000000000006</v>
      </c>
      <c r="I13" s="1050"/>
      <c r="J13" s="1131">
        <v>1.571</v>
      </c>
      <c r="K13" s="1131">
        <v>0.4</v>
      </c>
      <c r="L13" s="1131">
        <v>0</v>
      </c>
      <c r="M13" s="1131">
        <v>0</v>
      </c>
      <c r="N13" s="1051"/>
      <c r="O13" s="1131">
        <v>45.670118273</v>
      </c>
      <c r="P13" s="1131">
        <v>39.799999999999997</v>
      </c>
      <c r="Q13" s="1131">
        <v>35.356160731000003</v>
      </c>
      <c r="R13" s="1131">
        <v>59.195835420999998</v>
      </c>
      <c r="S13" s="1051"/>
      <c r="T13" s="1131">
        <v>8.8415654139999997</v>
      </c>
      <c r="U13" s="1131">
        <v>11.7</v>
      </c>
      <c r="V13" s="1131">
        <v>8.4026478440000005</v>
      </c>
      <c r="W13" s="1131">
        <v>11.494522980999999</v>
      </c>
      <c r="X13" s="315"/>
    </row>
    <row r="14" spans="1:24" s="317" customFormat="1" ht="38.25" customHeight="1" thickBot="1">
      <c r="A14" s="316"/>
      <c r="C14" s="708" t="s">
        <v>199</v>
      </c>
      <c r="D14" s="308"/>
      <c r="E14" s="319">
        <f>(E10+E12+E13)/(E9+E12+E13)*100</f>
        <v>0.51420022424125034</v>
      </c>
      <c r="F14" s="319">
        <f>(F10+F12+F13)/(F9+F12+F13)*100</f>
        <v>0.53350140552768999</v>
      </c>
      <c r="G14" s="319">
        <f>(G10+G12+G13)/(G9+G12+G13)*100</f>
        <v>0.58805163361510016</v>
      </c>
      <c r="H14" s="319">
        <f>(H10+H12+H13)/(H9+H12+H13)*100</f>
        <v>0.78525046158592726</v>
      </c>
      <c r="I14" s="308"/>
      <c r="J14" s="319">
        <f>(J10+J12+J13)/(J9+J12+J13)*100</f>
        <v>0.24202805242496234</v>
      </c>
      <c r="K14" s="319">
        <f>(K10+K12+K13)/(K9+K12+K13)*100</f>
        <v>0.27623365380234199</v>
      </c>
      <c r="L14" s="319">
        <f>(L10+L12+L13)/(L9+L12+L13)*100</f>
        <v>0.40303624680620265</v>
      </c>
      <c r="M14" s="319">
        <f>(M10+M12+M13)/(M9+M12+M13)*100</f>
        <v>0.93788910192009933</v>
      </c>
      <c r="N14" s="308"/>
      <c r="O14" s="319">
        <f>(O10+O12+O13)/(O9+O12+O13)*100</f>
        <v>0.92740790948076868</v>
      </c>
      <c r="P14" s="319">
        <f>(P10+P12+P13)/(P9+P12+P13)*100</f>
        <v>0.8822273452323478</v>
      </c>
      <c r="Q14" s="319">
        <f>(Q10+Q12+Q13)/(Q9+Q12+Q13)*100</f>
        <v>0.93170583239088001</v>
      </c>
      <c r="R14" s="319">
        <f>(R10+R12+R13)/(R9+R12+R13)*100</f>
        <v>1.2498361684560575</v>
      </c>
      <c r="S14" s="308"/>
      <c r="T14" s="319">
        <f>(T10+T12+T13)/(T9+T12+T13)*100</f>
        <v>0.32290748985268758</v>
      </c>
      <c r="U14" s="319">
        <f>(U10+U12+U13)/(U9+U12+U13)*100</f>
        <v>0.34045630037486924</v>
      </c>
      <c r="V14" s="319">
        <f>(V10+V12+V13)/(V9+V12+V13)*100</f>
        <v>0.34676624575143572</v>
      </c>
      <c r="W14" s="319">
        <f>(W10+W12+W13)/(W9+W12+W13)*100</f>
        <v>0.40607430763311092</v>
      </c>
      <c r="X14" s="318"/>
    </row>
    <row r="15" spans="1:24" s="317" customFormat="1" ht="22.5" customHeight="1">
      <c r="A15" s="316"/>
      <c r="C15" s="438"/>
      <c r="D15" s="308"/>
      <c r="E15" s="926"/>
      <c r="F15" s="926"/>
      <c r="G15" s="926"/>
      <c r="H15" s="926"/>
      <c r="I15" s="998"/>
      <c r="J15" s="926"/>
      <c r="K15" s="926"/>
      <c r="L15" s="926"/>
      <c r="M15" s="926"/>
      <c r="N15" s="998"/>
      <c r="O15" s="926"/>
      <c r="P15" s="926"/>
      <c r="Q15" s="926"/>
      <c r="R15" s="926"/>
      <c r="S15" s="998"/>
      <c r="T15" s="926"/>
      <c r="U15" s="926"/>
      <c r="V15" s="926"/>
      <c r="W15" s="926"/>
      <c r="X15" s="318"/>
    </row>
    <row r="16" spans="1:24" ht="21" customHeight="1">
      <c r="A16" s="173"/>
      <c r="B16" s="108"/>
      <c r="C16" s="322" t="s">
        <v>200</v>
      </c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3"/>
      <c r="P16" s="323"/>
      <c r="Q16" s="323"/>
      <c r="R16" s="323"/>
      <c r="S16" s="320"/>
      <c r="T16" s="323"/>
      <c r="U16" s="323"/>
      <c r="V16" s="323"/>
      <c r="W16" s="323"/>
      <c r="X16" s="324"/>
    </row>
    <row r="17" spans="1:31" ht="21" customHeight="1">
      <c r="A17" s="173"/>
      <c r="B17" s="108"/>
      <c r="C17" s="322" t="s">
        <v>381</v>
      </c>
      <c r="D17" s="325"/>
      <c r="E17" s="186"/>
      <c r="F17" s="186"/>
      <c r="G17" s="186"/>
      <c r="H17" s="186"/>
      <c r="I17" s="186"/>
      <c r="J17" s="178"/>
      <c r="K17" s="178"/>
      <c r="L17" s="178"/>
      <c r="M17" s="178"/>
      <c r="N17" s="178"/>
      <c r="O17" s="178"/>
      <c r="P17" s="178"/>
      <c r="Q17" s="178"/>
      <c r="R17" s="178"/>
      <c r="S17" s="186"/>
      <c r="T17" s="178"/>
      <c r="U17" s="178"/>
      <c r="V17" s="178"/>
      <c r="W17" s="178"/>
      <c r="X17" s="186"/>
    </row>
    <row r="18" spans="1:31">
      <c r="A18" s="173"/>
      <c r="B18" s="108"/>
      <c r="C18" s="325"/>
      <c r="D18" s="325"/>
      <c r="E18" s="186"/>
      <c r="F18" s="186"/>
      <c r="G18" s="186"/>
      <c r="H18" s="186"/>
      <c r="I18" s="186"/>
      <c r="J18" s="178"/>
      <c r="K18" s="178"/>
      <c r="L18" s="178"/>
      <c r="M18" s="178"/>
      <c r="N18" s="178"/>
      <c r="O18" s="178"/>
      <c r="P18" s="178"/>
      <c r="Q18" s="178"/>
      <c r="R18" s="178"/>
      <c r="S18" s="186"/>
      <c r="T18" s="178"/>
      <c r="U18" s="178"/>
      <c r="V18" s="178"/>
      <c r="W18" s="178"/>
      <c r="X18" s="186"/>
    </row>
    <row r="19" spans="1:31" s="47" customFormat="1" ht="17.25" customHeight="1">
      <c r="A19" s="326"/>
      <c r="B19" s="326"/>
      <c r="C19" s="310"/>
      <c r="D19" s="310"/>
      <c r="E19" s="186"/>
      <c r="F19" s="186"/>
      <c r="G19" s="186"/>
      <c r="H19" s="186"/>
      <c r="I19" s="186"/>
      <c r="J19" s="178"/>
      <c r="K19" s="178"/>
      <c r="L19" s="178"/>
      <c r="M19" s="178"/>
      <c r="N19" s="178"/>
      <c r="O19" s="178"/>
      <c r="P19" s="178"/>
      <c r="Q19" s="178"/>
      <c r="R19" s="178"/>
      <c r="S19" s="186"/>
      <c r="T19" s="178"/>
      <c r="U19" s="178"/>
      <c r="V19" s="178"/>
      <c r="W19" s="178"/>
      <c r="X19" s="186"/>
      <c r="Y19" s="202"/>
      <c r="Z19" s="202"/>
      <c r="AA19" s="327"/>
      <c r="AB19" s="327"/>
      <c r="AC19" s="202"/>
      <c r="AD19" s="202"/>
      <c r="AE19" s="327"/>
    </row>
    <row r="20" spans="1:31" s="47" customFormat="1" ht="16.5" customHeight="1">
      <c r="A20" s="326"/>
      <c r="B20" s="326"/>
      <c r="C20" s="1439"/>
      <c r="D20" s="1439"/>
      <c r="E20" s="1439"/>
      <c r="F20" s="1439"/>
      <c r="G20" s="1439"/>
      <c r="H20" s="1439"/>
      <c r="I20" s="1439"/>
      <c r="J20" s="1439"/>
      <c r="K20" s="1439"/>
      <c r="L20" s="1439"/>
      <c r="M20" s="1439"/>
      <c r="N20" s="1439"/>
      <c r="O20" s="1439"/>
      <c r="P20" s="1439"/>
      <c r="Q20" s="1439"/>
      <c r="R20" s="1439"/>
      <c r="S20" s="1439"/>
      <c r="T20" s="1439"/>
      <c r="U20" s="1439"/>
      <c r="V20" s="1439"/>
      <c r="W20" s="1439"/>
      <c r="X20" s="1439"/>
      <c r="Y20" s="212"/>
      <c r="Z20" s="212"/>
      <c r="AA20" s="212"/>
      <c r="AB20" s="212"/>
      <c r="AC20" s="212"/>
      <c r="AD20" s="212"/>
    </row>
    <row r="21" spans="1:31" ht="25.5" customHeight="1">
      <c r="A21" s="189"/>
      <c r="B21" s="189"/>
      <c r="C21" s="1440"/>
      <c r="D21" s="1440"/>
      <c r="E21" s="1440"/>
      <c r="F21" s="1440"/>
      <c r="G21" s="1440"/>
      <c r="H21" s="1440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</row>
    <row r="22" spans="1:31">
      <c r="A22" s="189"/>
      <c r="B22" s="189"/>
      <c r="C22" s="190"/>
      <c r="D22" s="190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</row>
    <row r="23" spans="1:31">
      <c r="A23" s="189"/>
      <c r="B23" s="189"/>
      <c r="C23" s="191"/>
      <c r="D23" s="191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2"/>
      <c r="P23" s="192"/>
      <c r="Q23" s="192"/>
      <c r="R23" s="192"/>
      <c r="S23" s="193"/>
      <c r="T23" s="192"/>
      <c r="U23" s="192"/>
      <c r="V23" s="192"/>
      <c r="W23" s="192"/>
      <c r="X23" s="193"/>
    </row>
    <row r="24" spans="1:31">
      <c r="A24" s="189"/>
      <c r="B24" s="189"/>
      <c r="C24" s="191"/>
      <c r="D24" s="191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2"/>
      <c r="P24" s="192"/>
      <c r="Q24" s="192"/>
      <c r="R24" s="192"/>
      <c r="S24" s="193"/>
      <c r="T24" s="192"/>
      <c r="U24" s="192"/>
      <c r="V24" s="192"/>
      <c r="W24" s="192"/>
      <c r="X24" s="193"/>
    </row>
    <row r="25" spans="1:31">
      <c r="A25" s="189"/>
      <c r="B25" s="189"/>
      <c r="C25" s="183"/>
      <c r="D25" s="183"/>
      <c r="E25" s="195"/>
      <c r="F25" s="195"/>
      <c r="G25" s="195"/>
      <c r="H25" s="195"/>
      <c r="I25" s="195"/>
      <c r="J25" s="194"/>
      <c r="K25" s="194"/>
      <c r="L25" s="194"/>
      <c r="M25" s="194"/>
      <c r="N25" s="194"/>
      <c r="O25" s="194"/>
      <c r="P25" s="194"/>
      <c r="Q25" s="194"/>
      <c r="R25" s="194"/>
      <c r="S25" s="195"/>
      <c r="T25" s="194"/>
      <c r="U25" s="194"/>
      <c r="V25" s="194"/>
      <c r="W25" s="194"/>
      <c r="X25" s="195"/>
    </row>
    <row r="26" spans="1:31">
      <c r="A26" s="189"/>
      <c r="B26" s="189"/>
      <c r="C26" s="183"/>
      <c r="D26" s="183"/>
      <c r="E26" s="195"/>
      <c r="F26" s="195"/>
      <c r="G26" s="195"/>
      <c r="H26" s="195"/>
      <c r="I26" s="195"/>
      <c r="J26" s="194"/>
      <c r="K26" s="194"/>
      <c r="L26" s="194"/>
      <c r="M26" s="194"/>
      <c r="N26" s="194"/>
      <c r="O26" s="194"/>
      <c r="P26" s="194"/>
      <c r="Q26" s="194"/>
      <c r="R26" s="194"/>
      <c r="S26" s="195"/>
      <c r="T26" s="194"/>
      <c r="U26" s="194"/>
      <c r="V26" s="194"/>
      <c r="W26" s="194"/>
      <c r="X26" s="195"/>
    </row>
    <row r="27" spans="1:31">
      <c r="A27" s="189"/>
      <c r="B27" s="189"/>
      <c r="C27" s="183"/>
      <c r="D27" s="183"/>
      <c r="E27" s="195"/>
      <c r="F27" s="195"/>
      <c r="G27" s="195"/>
      <c r="H27" s="195"/>
      <c r="I27" s="195"/>
      <c r="J27" s="194"/>
      <c r="K27" s="194"/>
      <c r="L27" s="194"/>
      <c r="M27" s="194"/>
      <c r="N27" s="194"/>
      <c r="O27" s="194"/>
      <c r="P27" s="194"/>
      <c r="Q27" s="194"/>
      <c r="R27" s="194"/>
      <c r="S27" s="195"/>
      <c r="T27" s="194"/>
      <c r="U27" s="194"/>
      <c r="V27" s="194"/>
      <c r="W27" s="194"/>
      <c r="X27" s="195"/>
    </row>
    <row r="28" spans="1:31">
      <c r="A28" s="189"/>
      <c r="B28" s="189"/>
      <c r="C28" s="183"/>
      <c r="D28" s="183"/>
      <c r="E28" s="195"/>
      <c r="F28" s="195"/>
      <c r="G28" s="195"/>
      <c r="H28" s="195"/>
      <c r="I28" s="195"/>
      <c r="J28" s="194"/>
      <c r="K28" s="194"/>
      <c r="L28" s="194"/>
      <c r="M28" s="194"/>
      <c r="N28" s="194"/>
      <c r="O28" s="194"/>
      <c r="P28" s="194"/>
      <c r="Q28" s="194"/>
      <c r="R28" s="194"/>
      <c r="S28" s="195"/>
      <c r="T28" s="194"/>
      <c r="U28" s="194"/>
      <c r="V28" s="194"/>
      <c r="W28" s="194"/>
      <c r="X28" s="195"/>
    </row>
    <row r="29" spans="1:31">
      <c r="A29" s="189"/>
      <c r="B29" s="189"/>
      <c r="C29" s="183"/>
      <c r="D29" s="183"/>
      <c r="E29" s="195"/>
      <c r="F29" s="195"/>
      <c r="G29" s="195"/>
      <c r="H29" s="195"/>
      <c r="I29" s="195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4"/>
      <c r="U29" s="194"/>
      <c r="V29" s="194"/>
      <c r="W29" s="194"/>
      <c r="X29" s="195"/>
    </row>
    <row r="30" spans="1:31">
      <c r="A30" s="189"/>
      <c r="B30" s="189"/>
      <c r="C30" s="196"/>
      <c r="D30" s="196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7"/>
      <c r="P30" s="197"/>
      <c r="Q30" s="197"/>
      <c r="R30" s="197"/>
      <c r="S30" s="198"/>
      <c r="T30" s="197"/>
      <c r="U30" s="197"/>
      <c r="V30" s="197"/>
      <c r="W30" s="197"/>
      <c r="X30" s="198"/>
    </row>
    <row r="31" spans="1:31">
      <c r="A31" s="189"/>
      <c r="B31" s="189"/>
      <c r="C31" s="183"/>
      <c r="D31" s="183"/>
      <c r="E31" s="195"/>
      <c r="F31" s="195"/>
      <c r="G31" s="195"/>
      <c r="H31" s="195"/>
      <c r="I31" s="195"/>
      <c r="J31" s="195"/>
      <c r="K31" s="195"/>
      <c r="L31" s="195"/>
      <c r="M31" s="195"/>
      <c r="N31" s="194"/>
      <c r="O31" s="194"/>
      <c r="P31" s="194"/>
      <c r="Q31" s="194"/>
      <c r="R31" s="194"/>
      <c r="S31" s="195"/>
      <c r="T31" s="194"/>
      <c r="U31" s="194"/>
      <c r="V31" s="194"/>
      <c r="W31" s="194"/>
      <c r="X31" s="195"/>
    </row>
    <row r="32" spans="1:31">
      <c r="A32" s="189"/>
      <c r="B32" s="189"/>
      <c r="C32" s="183"/>
      <c r="D32" s="183"/>
      <c r="E32" s="195"/>
      <c r="F32" s="195"/>
      <c r="G32" s="195"/>
      <c r="H32" s="195"/>
      <c r="I32" s="195"/>
      <c r="J32" s="195"/>
      <c r="K32" s="195"/>
      <c r="L32" s="195"/>
      <c r="M32" s="195"/>
      <c r="N32" s="194"/>
      <c r="O32" s="194"/>
      <c r="P32" s="194"/>
      <c r="Q32" s="194"/>
      <c r="R32" s="194"/>
      <c r="S32" s="195"/>
      <c r="T32" s="194"/>
      <c r="U32" s="194"/>
      <c r="V32" s="194"/>
      <c r="W32" s="194"/>
      <c r="X32" s="195"/>
    </row>
    <row r="33" spans="1:24">
      <c r="A33" s="189"/>
      <c r="B33" s="189"/>
      <c r="C33" s="183"/>
      <c r="D33" s="183"/>
      <c r="E33" s="200"/>
      <c r="F33" s="200"/>
      <c r="G33" s="200"/>
      <c r="H33" s="200"/>
      <c r="I33" s="200"/>
      <c r="J33" s="199"/>
      <c r="K33" s="199"/>
      <c r="L33" s="199"/>
      <c r="M33" s="199"/>
      <c r="N33" s="199"/>
      <c r="O33" s="199"/>
      <c r="P33" s="199"/>
      <c r="Q33" s="199"/>
      <c r="R33" s="199"/>
      <c r="S33" s="200"/>
      <c r="T33" s="199"/>
      <c r="U33" s="199"/>
      <c r="V33" s="199"/>
      <c r="W33" s="199"/>
      <c r="X33" s="200"/>
    </row>
    <row r="34" spans="1:24">
      <c r="A34" s="189"/>
      <c r="B34" s="189"/>
      <c r="C34" s="196"/>
      <c r="D34" s="196"/>
      <c r="E34" s="200"/>
      <c r="F34" s="200"/>
      <c r="G34" s="200"/>
      <c r="H34" s="200"/>
      <c r="I34" s="200"/>
      <c r="J34" s="199"/>
      <c r="K34" s="199"/>
      <c r="L34" s="199"/>
      <c r="M34" s="199"/>
      <c r="N34" s="199"/>
      <c r="O34" s="199"/>
      <c r="P34" s="199"/>
      <c r="Q34" s="199"/>
      <c r="R34" s="199"/>
      <c r="S34" s="200"/>
      <c r="T34" s="199"/>
      <c r="U34" s="199"/>
      <c r="V34" s="199"/>
      <c r="W34" s="199"/>
      <c r="X34" s="200"/>
    </row>
    <row r="35" spans="1:24">
      <c r="A35" s="189"/>
      <c r="B35" s="189"/>
      <c r="C35" s="183"/>
      <c r="D35" s="183"/>
      <c r="E35" s="200"/>
      <c r="F35" s="200"/>
      <c r="G35" s="200"/>
      <c r="H35" s="200"/>
      <c r="I35" s="200"/>
      <c r="J35" s="194"/>
      <c r="K35" s="194"/>
      <c r="L35" s="194"/>
      <c r="M35" s="194"/>
      <c r="N35" s="194"/>
      <c r="O35" s="194"/>
      <c r="P35" s="194"/>
      <c r="Q35" s="194"/>
      <c r="R35" s="194"/>
      <c r="S35" s="200"/>
      <c r="T35" s="194"/>
      <c r="U35" s="194"/>
      <c r="V35" s="194"/>
      <c r="W35" s="194"/>
      <c r="X35" s="200"/>
    </row>
    <row r="36" spans="1:24">
      <c r="A36" s="189"/>
      <c r="B36" s="189"/>
      <c r="C36" s="183"/>
      <c r="D36" s="183"/>
      <c r="E36" s="200"/>
      <c r="F36" s="200"/>
      <c r="G36" s="200"/>
      <c r="H36" s="200"/>
      <c r="I36" s="200"/>
      <c r="J36" s="194"/>
      <c r="K36" s="194"/>
      <c r="L36" s="194"/>
      <c r="M36" s="194"/>
      <c r="N36" s="194"/>
      <c r="O36" s="194"/>
      <c r="P36" s="194"/>
      <c r="Q36" s="194"/>
      <c r="R36" s="194"/>
      <c r="S36" s="200"/>
      <c r="T36" s="194"/>
      <c r="U36" s="194"/>
      <c r="V36" s="194"/>
      <c r="W36" s="194"/>
      <c r="X36" s="200"/>
    </row>
    <row r="37" spans="1:24">
      <c r="A37" s="189"/>
      <c r="B37" s="189"/>
      <c r="C37" s="183"/>
      <c r="D37" s="183"/>
      <c r="E37" s="200"/>
      <c r="F37" s="200"/>
      <c r="G37" s="200"/>
      <c r="H37" s="200"/>
      <c r="I37" s="200"/>
      <c r="J37" s="194"/>
      <c r="K37" s="194"/>
      <c r="L37" s="194"/>
      <c r="M37" s="194"/>
      <c r="N37" s="194"/>
      <c r="O37" s="194"/>
      <c r="P37" s="194"/>
      <c r="Q37" s="194"/>
      <c r="R37" s="194"/>
      <c r="S37" s="200"/>
      <c r="T37" s="194"/>
      <c r="U37" s="194"/>
      <c r="V37" s="194"/>
      <c r="W37" s="194"/>
      <c r="X37" s="200"/>
    </row>
    <row r="38" spans="1:24">
      <c r="A38" s="189"/>
      <c r="B38" s="189"/>
      <c r="C38" s="201"/>
      <c r="D38" s="201"/>
      <c r="E38" s="202"/>
      <c r="F38" s="202"/>
      <c r="G38" s="202"/>
      <c r="H38" s="202"/>
      <c r="I38" s="202"/>
      <c r="J38" s="201"/>
      <c r="K38" s="201"/>
      <c r="L38" s="201"/>
      <c r="M38" s="201"/>
      <c r="N38" s="201"/>
      <c r="O38" s="201"/>
      <c r="P38" s="201"/>
      <c r="Q38" s="201"/>
      <c r="R38" s="201"/>
      <c r="S38" s="202"/>
      <c r="T38" s="201"/>
      <c r="U38" s="201"/>
      <c r="V38" s="201"/>
      <c r="W38" s="201"/>
      <c r="X38" s="202"/>
    </row>
    <row r="39" spans="1:24">
      <c r="A39" s="27"/>
      <c r="B39" s="27"/>
      <c r="C39" s="203"/>
      <c r="D39" s="203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</row>
    <row r="40" spans="1:24">
      <c r="A40" s="27"/>
      <c r="B40" s="27"/>
      <c r="C40" s="203"/>
      <c r="D40" s="203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</row>
    <row r="41" spans="1:24">
      <c r="A41" s="27"/>
      <c r="B41" s="27"/>
      <c r="C41" s="203"/>
      <c r="D41" s="203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ht="19.5">
      <c r="A43" s="27"/>
      <c r="B43" s="27"/>
      <c r="C43" s="1438"/>
      <c r="D43" s="1438"/>
      <c r="E43" s="1438"/>
      <c r="F43" s="1438"/>
      <c r="G43" s="1438"/>
      <c r="H43" s="1438"/>
      <c r="I43" s="1418"/>
      <c r="J43" s="1418"/>
      <c r="K43" s="1418"/>
      <c r="L43" s="1418"/>
      <c r="M43" s="1418"/>
      <c r="N43" s="1418"/>
      <c r="O43" s="1418"/>
      <c r="P43" s="1418"/>
      <c r="Q43" s="1418"/>
      <c r="R43" s="1418"/>
      <c r="S43" s="1418"/>
      <c r="T43" s="1418"/>
      <c r="U43" s="1418"/>
      <c r="V43" s="1418"/>
      <c r="W43" s="1418"/>
      <c r="X43" s="1418"/>
    </row>
    <row r="44" spans="1:2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ht="18">
      <c r="A46" s="189"/>
      <c r="B46" s="189"/>
      <c r="C46" s="205"/>
      <c r="D46" s="205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</row>
    <row r="47" spans="1:24">
      <c r="A47" s="189"/>
      <c r="B47" s="189"/>
      <c r="C47" s="207"/>
      <c r="D47" s="207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</row>
    <row r="48" spans="1:24">
      <c r="A48" s="189"/>
      <c r="B48" s="189"/>
      <c r="C48" s="209"/>
      <c r="D48" s="209"/>
      <c r="E48" s="209"/>
      <c r="F48" s="209"/>
      <c r="G48" s="209"/>
      <c r="H48" s="209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</row>
    <row r="49" spans="1:24">
      <c r="A49" s="189"/>
      <c r="B49" s="189"/>
      <c r="C49" s="191"/>
      <c r="D49" s="191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2"/>
      <c r="P49" s="192"/>
      <c r="Q49" s="192"/>
      <c r="R49" s="192"/>
      <c r="S49" s="193"/>
      <c r="T49" s="192"/>
      <c r="U49" s="192"/>
      <c r="V49" s="192"/>
      <c r="W49" s="192"/>
      <c r="X49" s="193"/>
    </row>
    <row r="50" spans="1:24">
      <c r="A50" s="189"/>
      <c r="B50" s="189"/>
      <c r="C50" s="183"/>
      <c r="D50" s="183"/>
      <c r="E50" s="195"/>
      <c r="F50" s="195"/>
      <c r="G50" s="195"/>
      <c r="H50" s="195"/>
      <c r="I50" s="195"/>
      <c r="J50" s="210"/>
      <c r="K50" s="210"/>
      <c r="L50" s="210"/>
      <c r="M50" s="210"/>
      <c r="N50" s="210"/>
      <c r="O50" s="194"/>
      <c r="P50" s="194"/>
      <c r="Q50" s="194"/>
      <c r="R50" s="194"/>
      <c r="S50" s="195"/>
      <c r="T50" s="194"/>
      <c r="U50" s="194"/>
      <c r="V50" s="194"/>
      <c r="W50" s="194"/>
      <c r="X50" s="195"/>
    </row>
    <row r="51" spans="1:24">
      <c r="A51" s="189"/>
      <c r="B51" s="189"/>
      <c r="C51" s="183"/>
      <c r="D51" s="183"/>
      <c r="E51" s="195"/>
      <c r="F51" s="195"/>
      <c r="G51" s="195"/>
      <c r="H51" s="195"/>
      <c r="I51" s="195"/>
      <c r="J51" s="210"/>
      <c r="K51" s="210"/>
      <c r="L51" s="210"/>
      <c r="M51" s="210"/>
      <c r="N51" s="210"/>
      <c r="O51" s="194"/>
      <c r="P51" s="194"/>
      <c r="Q51" s="194"/>
      <c r="R51" s="194"/>
      <c r="S51" s="195"/>
      <c r="T51" s="194"/>
      <c r="U51" s="194"/>
      <c r="V51" s="194"/>
      <c r="W51" s="194"/>
      <c r="X51" s="195"/>
    </row>
    <row r="52" spans="1:24">
      <c r="A52" s="189"/>
      <c r="B52" s="189"/>
      <c r="C52" s="183"/>
      <c r="D52" s="183"/>
      <c r="E52" s="195"/>
      <c r="F52" s="195"/>
      <c r="G52" s="195"/>
      <c r="H52" s="195"/>
      <c r="I52" s="195"/>
      <c r="J52" s="210"/>
      <c r="K52" s="210"/>
      <c r="L52" s="210"/>
      <c r="M52" s="210"/>
      <c r="N52" s="210"/>
      <c r="O52" s="194"/>
      <c r="P52" s="194"/>
      <c r="Q52" s="194"/>
      <c r="R52" s="194"/>
      <c r="S52" s="195"/>
      <c r="T52" s="194"/>
      <c r="U52" s="194"/>
      <c r="V52" s="194"/>
      <c r="W52" s="194"/>
      <c r="X52" s="195"/>
    </row>
    <row r="53" spans="1:24">
      <c r="A53" s="189"/>
      <c r="B53" s="189"/>
      <c r="C53" s="183"/>
      <c r="D53" s="183"/>
      <c r="E53" s="195"/>
      <c r="F53" s="195"/>
      <c r="G53" s="195"/>
      <c r="H53" s="195"/>
      <c r="I53" s="195"/>
      <c r="J53" s="210"/>
      <c r="K53" s="210"/>
      <c r="L53" s="210"/>
      <c r="M53" s="210"/>
      <c r="N53" s="210"/>
      <c r="O53" s="194"/>
      <c r="P53" s="194"/>
      <c r="Q53" s="194"/>
      <c r="R53" s="194"/>
      <c r="S53" s="195"/>
      <c r="T53" s="194"/>
      <c r="U53" s="194"/>
      <c r="V53" s="194"/>
      <c r="W53" s="194"/>
      <c r="X53" s="195"/>
    </row>
    <row r="54" spans="1:24">
      <c r="A54" s="189"/>
      <c r="B54" s="189"/>
      <c r="C54" s="183"/>
      <c r="D54" s="183"/>
      <c r="E54" s="195"/>
      <c r="F54" s="195"/>
      <c r="G54" s="195"/>
      <c r="H54" s="195"/>
      <c r="I54" s="195"/>
      <c r="J54" s="210"/>
      <c r="K54" s="210"/>
      <c r="L54" s="210"/>
      <c r="M54" s="210"/>
      <c r="N54" s="210"/>
      <c r="O54" s="194"/>
      <c r="P54" s="194"/>
      <c r="Q54" s="194"/>
      <c r="R54" s="194"/>
      <c r="S54" s="195"/>
      <c r="T54" s="194"/>
      <c r="U54" s="194"/>
      <c r="V54" s="194"/>
      <c r="W54" s="194"/>
      <c r="X54" s="195"/>
    </row>
    <row r="55" spans="1:24">
      <c r="A55" s="189"/>
      <c r="B55" s="189"/>
      <c r="C55" s="196"/>
      <c r="D55" s="196"/>
      <c r="E55" s="198"/>
      <c r="F55" s="198"/>
      <c r="G55" s="198"/>
      <c r="H55" s="198"/>
      <c r="I55" s="198"/>
      <c r="J55" s="211"/>
      <c r="K55" s="211"/>
      <c r="L55" s="211"/>
      <c r="M55" s="211"/>
      <c r="N55" s="211"/>
      <c r="O55" s="197"/>
      <c r="P55" s="197"/>
      <c r="Q55" s="197"/>
      <c r="R55" s="197"/>
      <c r="S55" s="198"/>
      <c r="T55" s="197"/>
      <c r="U55" s="197"/>
      <c r="V55" s="197"/>
      <c r="W55" s="197"/>
      <c r="X55" s="198"/>
    </row>
    <row r="56" spans="1:24">
      <c r="A56" s="189"/>
      <c r="B56" s="189"/>
      <c r="C56" s="183"/>
      <c r="D56" s="183"/>
      <c r="E56" s="195"/>
      <c r="F56" s="195"/>
      <c r="G56" s="195"/>
      <c r="H56" s="195"/>
      <c r="I56" s="195"/>
      <c r="J56" s="210"/>
      <c r="K56" s="210"/>
      <c r="L56" s="210"/>
      <c r="M56" s="210"/>
      <c r="N56" s="194"/>
      <c r="O56" s="194"/>
      <c r="P56" s="194"/>
      <c r="Q56" s="194"/>
      <c r="R56" s="194"/>
      <c r="S56" s="195"/>
      <c r="T56" s="194"/>
      <c r="U56" s="194"/>
      <c r="V56" s="194"/>
      <c r="W56" s="194"/>
      <c r="X56" s="195"/>
    </row>
    <row r="57" spans="1:24">
      <c r="A57" s="189"/>
      <c r="B57" s="189"/>
      <c r="C57" s="183"/>
      <c r="D57" s="183"/>
      <c r="E57" s="195"/>
      <c r="F57" s="195"/>
      <c r="G57" s="195"/>
      <c r="H57" s="195"/>
      <c r="I57" s="195"/>
      <c r="J57" s="210"/>
      <c r="K57" s="210"/>
      <c r="L57" s="210"/>
      <c r="M57" s="210"/>
      <c r="N57" s="194"/>
      <c r="O57" s="194"/>
      <c r="P57" s="194"/>
      <c r="Q57" s="194"/>
      <c r="R57" s="194"/>
      <c r="S57" s="195"/>
      <c r="T57" s="194"/>
      <c r="U57" s="194"/>
      <c r="V57" s="194"/>
      <c r="W57" s="194"/>
      <c r="X57" s="195"/>
    </row>
    <row r="58" spans="1:24">
      <c r="A58" s="189"/>
      <c r="B58" s="189"/>
      <c r="C58" s="183"/>
      <c r="D58" s="183"/>
      <c r="E58" s="200"/>
      <c r="F58" s="200"/>
      <c r="G58" s="200"/>
      <c r="H58" s="200"/>
      <c r="I58" s="200"/>
      <c r="J58" s="199"/>
      <c r="K58" s="199"/>
      <c r="L58" s="199"/>
      <c r="M58" s="199"/>
      <c r="N58" s="199"/>
      <c r="O58" s="199"/>
      <c r="P58" s="199"/>
      <c r="Q58" s="199"/>
      <c r="R58" s="199"/>
      <c r="S58" s="200"/>
      <c r="T58" s="199"/>
      <c r="U58" s="199"/>
      <c r="V58" s="199"/>
      <c r="W58" s="199"/>
      <c r="X58" s="200"/>
    </row>
    <row r="59" spans="1:24">
      <c r="A59" s="189"/>
      <c r="B59" s="189"/>
      <c r="C59" s="196"/>
      <c r="D59" s="196"/>
      <c r="E59" s="200"/>
      <c r="F59" s="200"/>
      <c r="G59" s="200"/>
      <c r="H59" s="200"/>
      <c r="I59" s="200"/>
      <c r="J59" s="199"/>
      <c r="K59" s="199"/>
      <c r="L59" s="199"/>
      <c r="M59" s="199"/>
      <c r="N59" s="199"/>
      <c r="O59" s="199"/>
      <c r="P59" s="199"/>
      <c r="Q59" s="199"/>
      <c r="R59" s="199"/>
      <c r="S59" s="200"/>
      <c r="T59" s="199"/>
      <c r="U59" s="199"/>
      <c r="V59" s="199"/>
      <c r="W59" s="199"/>
      <c r="X59" s="200"/>
    </row>
    <row r="60" spans="1:24">
      <c r="A60" s="189"/>
      <c r="B60" s="189"/>
      <c r="C60" s="183"/>
      <c r="D60" s="183"/>
      <c r="E60" s="200"/>
      <c r="F60" s="200"/>
      <c r="G60" s="200"/>
      <c r="H60" s="200"/>
      <c r="I60" s="200"/>
      <c r="J60" s="194"/>
      <c r="K60" s="194"/>
      <c r="L60" s="194"/>
      <c r="M60" s="194"/>
      <c r="N60" s="194"/>
      <c r="O60" s="194"/>
      <c r="P60" s="194"/>
      <c r="Q60" s="194"/>
      <c r="R60" s="194"/>
      <c r="S60" s="200"/>
      <c r="T60" s="194"/>
      <c r="U60" s="194"/>
      <c r="V60" s="194"/>
      <c r="W60" s="194"/>
      <c r="X60" s="200"/>
    </row>
    <row r="61" spans="1:24">
      <c r="A61" s="189"/>
      <c r="B61" s="189"/>
      <c r="C61" s="183"/>
      <c r="D61" s="183"/>
      <c r="E61" s="200"/>
      <c r="F61" s="200"/>
      <c r="G61" s="200"/>
      <c r="H61" s="200"/>
      <c r="I61" s="200"/>
      <c r="J61" s="194"/>
      <c r="K61" s="194"/>
      <c r="L61" s="194"/>
      <c r="M61" s="194"/>
      <c r="N61" s="194"/>
      <c r="O61" s="194"/>
      <c r="P61" s="194"/>
      <c r="Q61" s="194"/>
      <c r="R61" s="194"/>
      <c r="S61" s="200"/>
      <c r="T61" s="194"/>
      <c r="U61" s="194"/>
      <c r="V61" s="194"/>
      <c r="W61" s="194"/>
      <c r="X61" s="200"/>
    </row>
    <row r="62" spans="1:24">
      <c r="A62" s="189"/>
      <c r="B62" s="189"/>
      <c r="C62" s="183"/>
      <c r="D62" s="183"/>
      <c r="E62" s="200"/>
      <c r="F62" s="200"/>
      <c r="G62" s="200"/>
      <c r="H62" s="200"/>
      <c r="I62" s="200"/>
      <c r="J62" s="194"/>
      <c r="K62" s="194"/>
      <c r="L62" s="194"/>
      <c r="M62" s="194"/>
      <c r="N62" s="194"/>
      <c r="O62" s="194"/>
      <c r="P62" s="194"/>
      <c r="Q62" s="194"/>
      <c r="R62" s="194"/>
      <c r="S62" s="200"/>
      <c r="T62" s="194"/>
      <c r="U62" s="194"/>
      <c r="V62" s="194"/>
      <c r="W62" s="194"/>
      <c r="X62" s="200"/>
    </row>
    <row r="63" spans="1:24">
      <c r="A63" s="189"/>
      <c r="B63" s="189"/>
      <c r="C63" s="183"/>
      <c r="D63" s="183"/>
      <c r="E63" s="200"/>
      <c r="F63" s="200"/>
      <c r="G63" s="200"/>
      <c r="H63" s="200"/>
      <c r="I63" s="200"/>
      <c r="J63" s="194"/>
      <c r="K63" s="194"/>
      <c r="L63" s="194"/>
      <c r="M63" s="194"/>
      <c r="N63" s="194"/>
      <c r="O63" s="194"/>
      <c r="P63" s="194"/>
      <c r="Q63" s="194"/>
      <c r="R63" s="194"/>
      <c r="S63" s="200"/>
      <c r="T63" s="194"/>
      <c r="U63" s="194"/>
      <c r="V63" s="194"/>
      <c r="W63" s="194"/>
      <c r="X63" s="200"/>
    </row>
    <row r="64" spans="1:24">
      <c r="A64" s="27"/>
      <c r="B64" s="27"/>
      <c r="C64" s="183"/>
      <c r="D64" s="183"/>
      <c r="E64" s="200"/>
      <c r="F64" s="200"/>
      <c r="G64" s="200"/>
      <c r="H64" s="200"/>
      <c r="I64" s="200"/>
      <c r="J64" s="194"/>
      <c r="K64" s="194"/>
      <c r="L64" s="194"/>
      <c r="M64" s="194"/>
      <c r="N64" s="194"/>
      <c r="O64" s="194"/>
      <c r="P64" s="194"/>
      <c r="Q64" s="194"/>
      <c r="R64" s="194"/>
      <c r="S64" s="200"/>
      <c r="T64" s="194"/>
      <c r="U64" s="194"/>
      <c r="V64" s="194"/>
      <c r="W64" s="194"/>
      <c r="X64" s="200"/>
    </row>
    <row r="65" spans="1:24">
      <c r="A65" s="189"/>
      <c r="B65" s="189"/>
      <c r="C65" s="201"/>
      <c r="D65" s="201"/>
      <c r="E65" s="202"/>
      <c r="F65" s="202"/>
      <c r="G65" s="202"/>
      <c r="H65" s="202"/>
      <c r="I65" s="202"/>
      <c r="J65" s="201"/>
      <c r="K65" s="201"/>
      <c r="L65" s="201"/>
      <c r="M65" s="201"/>
      <c r="N65" s="201"/>
      <c r="O65" s="201"/>
      <c r="P65" s="201"/>
      <c r="Q65" s="201"/>
      <c r="R65" s="201"/>
      <c r="S65" s="202"/>
      <c r="T65" s="201"/>
      <c r="U65" s="201"/>
      <c r="V65" s="201"/>
      <c r="W65" s="201"/>
      <c r="X65" s="202"/>
    </row>
    <row r="66" spans="1:24">
      <c r="A66" s="189"/>
      <c r="B66" s="189"/>
      <c r="C66" s="207"/>
      <c r="D66" s="207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</row>
    <row r="67" spans="1:24">
      <c r="A67" s="189"/>
      <c r="B67" s="189"/>
      <c r="C67" s="209"/>
      <c r="D67" s="209"/>
      <c r="E67" s="209"/>
      <c r="F67" s="209"/>
      <c r="G67" s="209"/>
      <c r="H67" s="209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</row>
    <row r="68" spans="1:24">
      <c r="A68" s="189"/>
      <c r="B68" s="189"/>
      <c r="C68" s="191"/>
      <c r="D68" s="191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2"/>
      <c r="P68" s="192"/>
      <c r="Q68" s="192"/>
      <c r="R68" s="192"/>
      <c r="S68" s="193"/>
      <c r="T68" s="192"/>
      <c r="U68" s="192"/>
      <c r="V68" s="192"/>
      <c r="W68" s="192"/>
      <c r="X68" s="193"/>
    </row>
    <row r="69" spans="1:24">
      <c r="A69" s="189"/>
      <c r="B69" s="189"/>
      <c r="C69" s="183"/>
      <c r="D69" s="183"/>
      <c r="E69" s="195"/>
      <c r="F69" s="195"/>
      <c r="G69" s="195"/>
      <c r="H69" s="195"/>
      <c r="I69" s="195"/>
      <c r="J69" s="194"/>
      <c r="K69" s="194"/>
      <c r="L69" s="194"/>
      <c r="M69" s="194"/>
      <c r="N69" s="194"/>
      <c r="O69" s="194"/>
      <c r="P69" s="194"/>
      <c r="Q69" s="194"/>
      <c r="R69" s="194"/>
      <c r="S69" s="195"/>
      <c r="T69" s="194"/>
      <c r="U69" s="194"/>
      <c r="V69" s="194"/>
      <c r="W69" s="194"/>
      <c r="X69" s="195"/>
    </row>
    <row r="70" spans="1:24">
      <c r="A70" s="189"/>
      <c r="B70" s="189"/>
      <c r="C70" s="183"/>
      <c r="D70" s="183"/>
      <c r="E70" s="195"/>
      <c r="F70" s="195"/>
      <c r="G70" s="195"/>
      <c r="H70" s="195"/>
      <c r="I70" s="195"/>
      <c r="J70" s="194"/>
      <c r="K70" s="194"/>
      <c r="L70" s="194"/>
      <c r="M70" s="194"/>
      <c r="N70" s="194"/>
      <c r="O70" s="194"/>
      <c r="P70" s="194"/>
      <c r="Q70" s="194"/>
      <c r="R70" s="194"/>
      <c r="S70" s="195"/>
      <c r="T70" s="194"/>
      <c r="U70" s="194"/>
      <c r="V70" s="194"/>
      <c r="W70" s="194"/>
      <c r="X70" s="195"/>
    </row>
    <row r="71" spans="1:24">
      <c r="A71" s="189"/>
      <c r="B71" s="189"/>
      <c r="C71" s="183"/>
      <c r="D71" s="183"/>
      <c r="E71" s="195"/>
      <c r="F71" s="195"/>
      <c r="G71" s="195"/>
      <c r="H71" s="195"/>
      <c r="I71" s="195"/>
      <c r="J71" s="194"/>
      <c r="K71" s="194"/>
      <c r="L71" s="194"/>
      <c r="M71" s="194"/>
      <c r="N71" s="194"/>
      <c r="O71" s="194"/>
      <c r="P71" s="194"/>
      <c r="Q71" s="194"/>
      <c r="R71" s="194"/>
      <c r="S71" s="195"/>
      <c r="T71" s="194"/>
      <c r="U71" s="194"/>
      <c r="V71" s="194"/>
      <c r="W71" s="194"/>
      <c r="X71" s="195"/>
    </row>
    <row r="72" spans="1:24">
      <c r="A72" s="189"/>
      <c r="B72" s="189"/>
      <c r="C72" s="183"/>
      <c r="D72" s="183"/>
      <c r="E72" s="195"/>
      <c r="F72" s="195"/>
      <c r="G72" s="195"/>
      <c r="H72" s="195"/>
      <c r="I72" s="195"/>
      <c r="J72" s="194"/>
      <c r="K72" s="194"/>
      <c r="L72" s="194"/>
      <c r="M72" s="194"/>
      <c r="N72" s="194"/>
      <c r="O72" s="194"/>
      <c r="P72" s="194"/>
      <c r="Q72" s="194"/>
      <c r="R72" s="194"/>
      <c r="S72" s="195"/>
      <c r="T72" s="194"/>
      <c r="U72" s="194"/>
      <c r="V72" s="194"/>
      <c r="W72" s="194"/>
      <c r="X72" s="195"/>
    </row>
    <row r="73" spans="1:24">
      <c r="A73" s="189"/>
      <c r="B73" s="189"/>
      <c r="C73" s="183"/>
      <c r="D73" s="183"/>
      <c r="E73" s="195"/>
      <c r="F73" s="195"/>
      <c r="G73" s="195"/>
      <c r="H73" s="195"/>
      <c r="I73" s="195"/>
      <c r="J73" s="194"/>
      <c r="K73" s="194"/>
      <c r="L73" s="194"/>
      <c r="M73" s="194"/>
      <c r="N73" s="194"/>
      <c r="O73" s="194"/>
      <c r="P73" s="194"/>
      <c r="Q73" s="194"/>
      <c r="R73" s="194"/>
      <c r="S73" s="195"/>
      <c r="T73" s="194"/>
      <c r="U73" s="194"/>
      <c r="V73" s="194"/>
      <c r="W73" s="194"/>
      <c r="X73" s="195"/>
    </row>
    <row r="74" spans="1:24">
      <c r="A74" s="189"/>
      <c r="B74" s="189"/>
      <c r="C74" s="196"/>
      <c r="D74" s="196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7"/>
      <c r="P74" s="197"/>
      <c r="Q74" s="197"/>
      <c r="R74" s="197"/>
      <c r="S74" s="198"/>
      <c r="T74" s="197"/>
      <c r="U74" s="197"/>
      <c r="V74" s="197"/>
      <c r="W74" s="197"/>
      <c r="X74" s="198"/>
    </row>
    <row r="75" spans="1:24">
      <c r="A75" s="189"/>
      <c r="B75" s="189"/>
      <c r="C75" s="183"/>
      <c r="D75" s="183"/>
      <c r="E75" s="195"/>
      <c r="F75" s="195"/>
      <c r="G75" s="195"/>
      <c r="H75" s="195"/>
      <c r="I75" s="195"/>
      <c r="J75" s="195"/>
      <c r="K75" s="195"/>
      <c r="L75" s="195"/>
      <c r="M75" s="195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5"/>
    </row>
    <row r="76" spans="1:24">
      <c r="A76" s="189"/>
      <c r="B76" s="189"/>
      <c r="C76" s="183"/>
      <c r="D76" s="183"/>
      <c r="E76" s="195"/>
      <c r="F76" s="195"/>
      <c r="G76" s="195"/>
      <c r="H76" s="195"/>
      <c r="I76" s="195"/>
      <c r="J76" s="195"/>
      <c r="K76" s="195"/>
      <c r="L76" s="195"/>
      <c r="M76" s="195"/>
      <c r="N76" s="194"/>
      <c r="O76" s="194"/>
      <c r="P76" s="194"/>
      <c r="Q76" s="194"/>
      <c r="R76" s="194"/>
      <c r="S76" s="195"/>
      <c r="T76" s="194"/>
      <c r="U76" s="194"/>
      <c r="V76" s="194"/>
      <c r="W76" s="194"/>
      <c r="X76" s="195"/>
    </row>
    <row r="77" spans="1:24">
      <c r="A77" s="189"/>
      <c r="B77" s="189"/>
      <c r="C77" s="183"/>
      <c r="D77" s="183"/>
      <c r="E77" s="200"/>
      <c r="F77" s="200"/>
      <c r="G77" s="200"/>
      <c r="H77" s="200"/>
      <c r="I77" s="200"/>
      <c r="J77" s="199"/>
      <c r="K77" s="199"/>
      <c r="L77" s="199"/>
      <c r="M77" s="199"/>
      <c r="N77" s="199"/>
      <c r="O77" s="199"/>
      <c r="P77" s="199"/>
      <c r="Q77" s="199"/>
      <c r="R77" s="199"/>
      <c r="S77" s="200"/>
      <c r="T77" s="199"/>
      <c r="U77" s="199"/>
      <c r="V77" s="199"/>
      <c r="W77" s="199"/>
      <c r="X77" s="200"/>
    </row>
    <row r="78" spans="1:24">
      <c r="A78" s="189"/>
      <c r="B78" s="189"/>
      <c r="C78" s="196"/>
      <c r="D78" s="196"/>
      <c r="E78" s="200"/>
      <c r="F78" s="200"/>
      <c r="G78" s="200"/>
      <c r="H78" s="200"/>
      <c r="I78" s="200"/>
      <c r="J78" s="199"/>
      <c r="K78" s="199"/>
      <c r="L78" s="199"/>
      <c r="M78" s="199"/>
      <c r="N78" s="199"/>
      <c r="O78" s="199"/>
      <c r="P78" s="199"/>
      <c r="Q78" s="199"/>
      <c r="R78" s="199"/>
      <c r="S78" s="200"/>
      <c r="T78" s="199"/>
      <c r="U78" s="199"/>
      <c r="V78" s="199"/>
      <c r="W78" s="199"/>
      <c r="X78" s="200"/>
    </row>
    <row r="79" spans="1:24">
      <c r="A79" s="189"/>
      <c r="B79" s="189"/>
      <c r="C79" s="183"/>
      <c r="D79" s="183"/>
      <c r="E79" s="200"/>
      <c r="F79" s="200"/>
      <c r="G79" s="200"/>
      <c r="H79" s="200"/>
      <c r="I79" s="200"/>
      <c r="J79" s="194"/>
      <c r="K79" s="194"/>
      <c r="L79" s="194"/>
      <c r="M79" s="194"/>
      <c r="N79" s="194"/>
      <c r="O79" s="194"/>
      <c r="P79" s="194"/>
      <c r="Q79" s="194"/>
      <c r="R79" s="194"/>
      <c r="S79" s="200"/>
      <c r="T79" s="194"/>
      <c r="U79" s="194"/>
      <c r="V79" s="194"/>
      <c r="W79" s="194"/>
      <c r="X79" s="200"/>
    </row>
    <row r="80" spans="1:24">
      <c r="A80" s="189"/>
      <c r="B80" s="189"/>
      <c r="C80" s="183"/>
      <c r="D80" s="183"/>
      <c r="E80" s="200"/>
      <c r="F80" s="200"/>
      <c r="G80" s="200"/>
      <c r="H80" s="200"/>
      <c r="I80" s="200"/>
      <c r="J80" s="194"/>
      <c r="K80" s="194"/>
      <c r="L80" s="194"/>
      <c r="M80" s="194"/>
      <c r="N80" s="194"/>
      <c r="O80" s="194"/>
      <c r="P80" s="194"/>
      <c r="Q80" s="194"/>
      <c r="R80" s="194"/>
      <c r="S80" s="200"/>
      <c r="T80" s="194"/>
      <c r="U80" s="194"/>
      <c r="V80" s="194"/>
      <c r="W80" s="194"/>
      <c r="X80" s="200"/>
    </row>
    <row r="81" spans="1:24">
      <c r="A81" s="189"/>
      <c r="B81" s="189"/>
      <c r="C81" s="183"/>
      <c r="D81" s="183"/>
      <c r="E81" s="200"/>
      <c r="F81" s="200"/>
      <c r="G81" s="200"/>
      <c r="H81" s="200"/>
      <c r="I81" s="200"/>
      <c r="J81" s="194"/>
      <c r="K81" s="194"/>
      <c r="L81" s="194"/>
      <c r="M81" s="194"/>
      <c r="N81" s="194"/>
      <c r="O81" s="194"/>
      <c r="P81" s="194"/>
      <c r="Q81" s="194"/>
      <c r="R81" s="194"/>
      <c r="S81" s="200"/>
      <c r="T81" s="194"/>
      <c r="U81" s="194"/>
      <c r="V81" s="194"/>
      <c r="W81" s="194"/>
      <c r="X81" s="200"/>
    </row>
    <row r="82" spans="1:24">
      <c r="A82" s="189"/>
      <c r="B82" s="189"/>
      <c r="C82" s="201"/>
      <c r="D82" s="201"/>
      <c r="E82" s="202"/>
      <c r="F82" s="202"/>
      <c r="G82" s="202"/>
      <c r="H82" s="202"/>
      <c r="I82" s="202"/>
      <c r="J82" s="201"/>
      <c r="K82" s="201"/>
      <c r="L82" s="201"/>
      <c r="M82" s="201"/>
      <c r="N82" s="201"/>
      <c r="O82" s="201"/>
      <c r="P82" s="201"/>
      <c r="Q82" s="201"/>
      <c r="R82" s="201"/>
      <c r="S82" s="202"/>
      <c r="T82" s="201"/>
      <c r="U82" s="201"/>
      <c r="V82" s="201"/>
      <c r="W82" s="201"/>
      <c r="X82" s="202"/>
    </row>
    <row r="83" spans="1:24">
      <c r="A83" s="27"/>
      <c r="B83" s="27"/>
      <c r="C83" s="203"/>
      <c r="D83" s="203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</row>
    <row r="84" spans="1:24">
      <c r="A84" s="27"/>
      <c r="B84" s="27"/>
      <c r="C84" s="203"/>
      <c r="D84" s="203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</row>
    <row r="85" spans="1:24">
      <c r="A85" s="27"/>
      <c r="B85" s="27"/>
      <c r="C85" s="203"/>
      <c r="D85" s="203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</sheetData>
  <mergeCells count="11">
    <mergeCell ref="C1:X1"/>
    <mergeCell ref="C43:X43"/>
    <mergeCell ref="C20:H20"/>
    <mergeCell ref="I20:R20"/>
    <mergeCell ref="S20:X20"/>
    <mergeCell ref="C21:H21"/>
    <mergeCell ref="E3:H5"/>
    <mergeCell ref="J5:M5"/>
    <mergeCell ref="J3:W3"/>
    <mergeCell ref="O5:R5"/>
    <mergeCell ref="T5:W5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zoomScale="90" zoomScaleNormal="90" zoomScaleSheetLayoutView="90" workbookViewId="0">
      <selection activeCell="C32" sqref="C32:C33"/>
    </sheetView>
  </sheetViews>
  <sheetFormatPr defaultRowHeight="15"/>
  <cols>
    <col min="1" max="1" width="17.85546875" style="77" customWidth="1"/>
    <col min="2" max="2" width="1.7109375" style="77" customWidth="1"/>
    <col min="3" max="3" width="32.140625" style="77" customWidth="1"/>
    <col min="4" max="5" width="7.42578125" style="77" customWidth="1"/>
    <col min="6" max="6" width="7.42578125" style="77" hidden="1" customWidth="1"/>
    <col min="7" max="9" width="7.42578125" style="77" customWidth="1"/>
    <col min="10" max="10" width="7.42578125" style="77" hidden="1" customWidth="1"/>
    <col min="11" max="13" width="7.42578125" style="77" customWidth="1"/>
    <col min="14" max="14" width="7.42578125" style="77" hidden="1" customWidth="1"/>
    <col min="15" max="17" width="7.42578125" style="77" customWidth="1"/>
    <col min="18" max="18" width="7.42578125" style="77" hidden="1" customWidth="1"/>
    <col min="19" max="21" width="7.42578125" style="77" customWidth="1"/>
    <col min="22" max="22" width="7.42578125" style="77" hidden="1" customWidth="1"/>
    <col min="23" max="25" width="7.42578125" style="77" customWidth="1"/>
    <col min="26" max="26" width="7.42578125" style="77" hidden="1" customWidth="1"/>
    <col min="27" max="27" width="7.42578125" style="77" customWidth="1"/>
    <col min="28" max="28" width="1" style="77" customWidth="1"/>
    <col min="29" max="16384" width="9.140625" style="77"/>
  </cols>
  <sheetData>
    <row r="1" spans="1:33" ht="35.25" customHeight="1">
      <c r="A1" s="813"/>
      <c r="B1" s="167"/>
      <c r="C1" s="1405" t="s">
        <v>466</v>
      </c>
      <c r="D1" s="1405"/>
      <c r="E1" s="1405"/>
      <c r="F1" s="1405"/>
      <c r="G1" s="1405"/>
      <c r="H1" s="1405"/>
      <c r="I1" s="1405"/>
      <c r="J1" s="1405"/>
      <c r="K1" s="1405"/>
      <c r="L1" s="1405"/>
      <c r="M1" s="1405"/>
      <c r="N1" s="1405"/>
      <c r="O1" s="1405"/>
      <c r="P1" s="1405"/>
      <c r="Q1" s="1405"/>
      <c r="R1" s="1405"/>
      <c r="S1" s="1405"/>
      <c r="T1" s="1405"/>
      <c r="U1" s="1405"/>
      <c r="V1" s="1405"/>
      <c r="W1" s="1405"/>
      <c r="X1" s="1405"/>
      <c r="Y1" s="1405"/>
      <c r="Z1" s="1405"/>
      <c r="AA1" s="1405"/>
      <c r="AB1" s="1405"/>
    </row>
    <row r="2" spans="1:33" ht="9.75" customHeight="1">
      <c r="A2" s="168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</row>
    <row r="3" spans="1:33" ht="15.75">
      <c r="A3" s="168"/>
      <c r="C3" s="447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</row>
    <row r="4" spans="1:33" ht="15.75">
      <c r="A4" s="168"/>
      <c r="C4" s="447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</row>
    <row r="5" spans="1:33" ht="22.5" customHeight="1">
      <c r="A5" s="168"/>
      <c r="C5" s="447"/>
      <c r="D5" s="1442" t="s">
        <v>471</v>
      </c>
      <c r="E5" s="1421"/>
      <c r="F5" s="1421"/>
      <c r="G5" s="1443"/>
      <c r="H5" s="1442" t="s">
        <v>486</v>
      </c>
      <c r="I5" s="1421"/>
      <c r="J5" s="1421"/>
      <c r="K5" s="1443"/>
      <c r="L5" s="1442" t="s">
        <v>490</v>
      </c>
      <c r="M5" s="1421"/>
      <c r="N5" s="1421"/>
      <c r="O5" s="1443"/>
      <c r="P5" s="1442" t="s">
        <v>492</v>
      </c>
      <c r="Q5" s="1421"/>
      <c r="R5" s="1421"/>
      <c r="S5" s="1443"/>
      <c r="T5" s="1442" t="s">
        <v>498</v>
      </c>
      <c r="U5" s="1421"/>
      <c r="V5" s="1421"/>
      <c r="W5" s="1421"/>
      <c r="X5" s="1442" t="s">
        <v>550</v>
      </c>
      <c r="Y5" s="1421"/>
      <c r="Z5" s="1421"/>
      <c r="AA5" s="1421"/>
      <c r="AB5" s="328"/>
    </row>
    <row r="6" spans="1:33" ht="23.25" customHeight="1" thickBot="1">
      <c r="A6" s="173"/>
      <c r="B6" s="108"/>
      <c r="C6" s="501" t="s">
        <v>188</v>
      </c>
      <c r="D6" s="720" t="s">
        <v>224</v>
      </c>
      <c r="E6" s="721" t="s">
        <v>225</v>
      </c>
      <c r="F6" s="722" t="s">
        <v>5</v>
      </c>
      <c r="G6" s="721" t="s">
        <v>226</v>
      </c>
      <c r="H6" s="720" t="s">
        <v>224</v>
      </c>
      <c r="I6" s="721" t="s">
        <v>225</v>
      </c>
      <c r="J6" s="722" t="s">
        <v>5</v>
      </c>
      <c r="K6" s="721" t="s">
        <v>226</v>
      </c>
      <c r="L6" s="720" t="s">
        <v>224</v>
      </c>
      <c r="M6" s="721" t="s">
        <v>225</v>
      </c>
      <c r="N6" s="722" t="s">
        <v>5</v>
      </c>
      <c r="O6" s="721" t="s">
        <v>226</v>
      </c>
      <c r="P6" s="720" t="s">
        <v>224</v>
      </c>
      <c r="Q6" s="721" t="s">
        <v>225</v>
      </c>
      <c r="R6" s="722" t="s">
        <v>5</v>
      </c>
      <c r="S6" s="721" t="s">
        <v>226</v>
      </c>
      <c r="T6" s="720" t="s">
        <v>224</v>
      </c>
      <c r="U6" s="721" t="s">
        <v>225</v>
      </c>
      <c r="V6" s="722" t="s">
        <v>5</v>
      </c>
      <c r="W6" s="721" t="s">
        <v>226</v>
      </c>
      <c r="X6" s="720" t="s">
        <v>224</v>
      </c>
      <c r="Y6" s="721" t="s">
        <v>225</v>
      </c>
      <c r="Z6" s="722" t="s">
        <v>5</v>
      </c>
      <c r="AA6" s="721" t="s">
        <v>226</v>
      </c>
      <c r="AB6" s="722"/>
    </row>
    <row r="7" spans="1:33" ht="20.25" customHeight="1">
      <c r="A7" s="173"/>
      <c r="B7" s="108"/>
      <c r="C7" s="717" t="s">
        <v>203</v>
      </c>
      <c r="D7" s="768">
        <v>189.029</v>
      </c>
      <c r="E7" s="767">
        <f>D7/D28</f>
        <v>2.1561101591399761E-3</v>
      </c>
      <c r="F7" s="769">
        <v>1.929</v>
      </c>
      <c r="G7" s="329">
        <f t="shared" ref="G7:G26" si="0">+F7/D7</f>
        <v>1.0204783393024351E-2</v>
      </c>
      <c r="H7" s="768">
        <v>182.17699999999999</v>
      </c>
      <c r="I7" s="767">
        <f>H7/H28</f>
        <v>2.0979016469363397E-3</v>
      </c>
      <c r="J7" s="769">
        <v>6.1580000000000004</v>
      </c>
      <c r="K7" s="329">
        <f t="shared" ref="K7:K26" si="1">+J7/H7</f>
        <v>3.3802291178359513E-2</v>
      </c>
      <c r="L7" s="768">
        <v>175.774</v>
      </c>
      <c r="M7" s="767">
        <f>L7/L28</f>
        <v>2.0199423541773457E-3</v>
      </c>
      <c r="N7" s="769">
        <v>4.8109999999999999</v>
      </c>
      <c r="O7" s="329">
        <f t="shared" ref="O7:O26" si="2">+N7/L7</f>
        <v>2.7370373320286277E-2</v>
      </c>
      <c r="P7" s="1052">
        <v>168.965</v>
      </c>
      <c r="Q7" s="1053">
        <f>P7/P28</f>
        <v>2.0088568514870851E-3</v>
      </c>
      <c r="R7" s="1054">
        <v>1.0780000000000001</v>
      </c>
      <c r="S7" s="1055">
        <f t="shared" ref="S7:S25" si="3">+R7/P7</f>
        <v>6.380019530672033E-3</v>
      </c>
      <c r="T7" s="1252">
        <v>162.34100000000001</v>
      </c>
      <c r="U7" s="1253">
        <f>T7/T28</f>
        <v>1.8964648484508574E-3</v>
      </c>
      <c r="V7" s="1254">
        <v>1.0860000000000001</v>
      </c>
      <c r="W7" s="1255">
        <f t="shared" ref="W7:W25" si="4">+V7/T7</f>
        <v>6.6896224613621942E-3</v>
      </c>
      <c r="X7" s="1132">
        <v>141.374</v>
      </c>
      <c r="Y7" s="967">
        <f>X7/X28</f>
        <v>1.6488481130227765E-3</v>
      </c>
      <c r="Z7" s="971">
        <v>1.1060000000000001</v>
      </c>
      <c r="AA7" s="974">
        <f t="shared" ref="AA7:AA24" si="5">+Z7/X7</f>
        <v>7.8232206770693351E-3</v>
      </c>
      <c r="AB7" s="329" t="e">
        <f>+#REF!/#REF!</f>
        <v>#REF!</v>
      </c>
      <c r="AD7" s="195"/>
      <c r="AE7" s="195"/>
      <c r="AF7" s="195"/>
      <c r="AG7" s="195"/>
    </row>
    <row r="8" spans="1:33" ht="20.25" customHeight="1">
      <c r="A8" s="173"/>
      <c r="B8" s="108"/>
      <c r="C8" s="717" t="s">
        <v>204</v>
      </c>
      <c r="D8" s="771">
        <v>86.456000000000003</v>
      </c>
      <c r="E8" s="770">
        <f>D8/D28</f>
        <v>9.8613789375495697E-4</v>
      </c>
      <c r="F8" s="772">
        <v>0.17</v>
      </c>
      <c r="G8" s="330">
        <f t="shared" si="0"/>
        <v>1.9663181271398168E-3</v>
      </c>
      <c r="H8" s="771">
        <v>94.605999999999995</v>
      </c>
      <c r="I8" s="770">
        <f>H8/H28</f>
        <v>1.0894574134498829E-3</v>
      </c>
      <c r="J8" s="772">
        <v>1.2509999999999999</v>
      </c>
      <c r="K8" s="330">
        <f t="shared" si="1"/>
        <v>1.3223262795171553E-2</v>
      </c>
      <c r="L8" s="771">
        <v>99.171999999999997</v>
      </c>
      <c r="M8" s="770">
        <f>L8/L28</f>
        <v>1.139655029460988E-3</v>
      </c>
      <c r="N8" s="772">
        <v>2.8380000000000001</v>
      </c>
      <c r="O8" s="330">
        <f t="shared" si="2"/>
        <v>2.8616948332190539E-2</v>
      </c>
      <c r="P8" s="1056">
        <v>99.652000000000001</v>
      </c>
      <c r="Q8" s="1057">
        <f>P8/P28</f>
        <v>1.1847814811611339E-3</v>
      </c>
      <c r="R8" s="1058">
        <v>2.8260000000000001</v>
      </c>
      <c r="S8" s="1059">
        <f t="shared" si="3"/>
        <v>2.8358688235058001E-2</v>
      </c>
      <c r="T8" s="1256">
        <v>103.07899999999999</v>
      </c>
      <c r="U8" s="1257">
        <f>T8/T28</f>
        <v>1.2041671550222428E-3</v>
      </c>
      <c r="V8" s="1258">
        <v>2.7850000000000001</v>
      </c>
      <c r="W8" s="1259">
        <f t="shared" si="4"/>
        <v>2.7018112321617403E-2</v>
      </c>
      <c r="X8" s="1133">
        <v>100.786</v>
      </c>
      <c r="Y8" s="968">
        <f>X8/X28</f>
        <v>1.1754693643747335E-3</v>
      </c>
      <c r="Z8" s="972">
        <v>0.34</v>
      </c>
      <c r="AA8" s="975">
        <f t="shared" si="5"/>
        <v>3.3734844125176116E-3</v>
      </c>
      <c r="AB8" s="330" t="e">
        <f>+#REF!/#REF!</f>
        <v>#REF!</v>
      </c>
      <c r="AD8" s="195"/>
      <c r="AE8" s="195"/>
      <c r="AF8" s="195"/>
      <c r="AG8" s="195"/>
    </row>
    <row r="9" spans="1:33" ht="20.25" customHeight="1">
      <c r="A9" s="173"/>
      <c r="B9" s="108"/>
      <c r="C9" s="717" t="s">
        <v>205</v>
      </c>
      <c r="D9" s="771">
        <v>28394.404999999999</v>
      </c>
      <c r="E9" s="770">
        <f>D9/D28</f>
        <v>0.32387340081804872</v>
      </c>
      <c r="F9" s="772">
        <v>252.26</v>
      </c>
      <c r="G9" s="330">
        <f t="shared" si="0"/>
        <v>8.8841446052488164E-3</v>
      </c>
      <c r="H9" s="771">
        <v>27805.883999999998</v>
      </c>
      <c r="I9" s="770">
        <f>H9/H28</f>
        <v>0.32020512928701655</v>
      </c>
      <c r="J9" s="772">
        <v>391.99799999999999</v>
      </c>
      <c r="K9" s="330">
        <f t="shared" si="1"/>
        <v>1.4097663645579475E-2</v>
      </c>
      <c r="L9" s="771">
        <v>27642.417000000001</v>
      </c>
      <c r="M9" s="770">
        <f>L9/L28</f>
        <v>0.31765840721683458</v>
      </c>
      <c r="N9" s="772">
        <v>329.613</v>
      </c>
      <c r="O9" s="330">
        <f t="shared" si="2"/>
        <v>1.1924174358559166E-2</v>
      </c>
      <c r="P9" s="1056">
        <v>25780.802</v>
      </c>
      <c r="Q9" s="1057">
        <f>P9/P28</f>
        <v>0.30651283244773736</v>
      </c>
      <c r="R9" s="1058">
        <v>268.36</v>
      </c>
      <c r="S9" s="1059">
        <f t="shared" si="3"/>
        <v>1.0409296033536894E-2</v>
      </c>
      <c r="T9" s="1256">
        <v>26194.664000000001</v>
      </c>
      <c r="U9" s="1257">
        <f>T9/T28</f>
        <v>0.30600562700107259</v>
      </c>
      <c r="V9" s="1258">
        <v>313.67500000000001</v>
      </c>
      <c r="W9" s="1259">
        <f t="shared" si="4"/>
        <v>1.1974767074698878E-2</v>
      </c>
      <c r="X9" s="1133">
        <v>25642.317967785999</v>
      </c>
      <c r="Y9" s="968">
        <f>X9/X28</f>
        <v>0.29906692598861168</v>
      </c>
      <c r="Z9" s="972">
        <v>330.99700000000001</v>
      </c>
      <c r="AA9" s="975">
        <f t="shared" si="5"/>
        <v>1.2908232415487001E-2</v>
      </c>
      <c r="AB9" s="330" t="e">
        <f>+#REF!/#REF!</f>
        <v>#REF!</v>
      </c>
      <c r="AD9" s="195"/>
      <c r="AE9" s="195"/>
      <c r="AF9" s="195"/>
      <c r="AG9" s="195"/>
    </row>
    <row r="10" spans="1:33" ht="20.25" customHeight="1">
      <c r="A10" s="173"/>
      <c r="B10" s="108"/>
      <c r="C10" s="717" t="s">
        <v>206</v>
      </c>
      <c r="D10" s="771">
        <v>1075.7819999999999</v>
      </c>
      <c r="E10" s="770">
        <f>D10/D28</f>
        <v>1.2270627783143971E-2</v>
      </c>
      <c r="F10" s="772">
        <v>0.18099999999999999</v>
      </c>
      <c r="G10" s="330">
        <f t="shared" si="0"/>
        <v>1.6824970114763028E-4</v>
      </c>
      <c r="H10" s="771">
        <v>1090.394</v>
      </c>
      <c r="I10" s="770">
        <f>H10/H28</f>
        <v>1.2556685906615562E-2</v>
      </c>
      <c r="J10" s="772">
        <v>0</v>
      </c>
      <c r="K10" s="330">
        <f t="shared" si="1"/>
        <v>0</v>
      </c>
      <c r="L10" s="771">
        <v>1073.8879999999999</v>
      </c>
      <c r="M10" s="770">
        <f>L10/L28</f>
        <v>1.2340800430341239E-2</v>
      </c>
      <c r="N10" s="772">
        <v>0.17100000000000001</v>
      </c>
      <c r="O10" s="330">
        <f t="shared" si="2"/>
        <v>1.5923448255311543E-4</v>
      </c>
      <c r="P10" s="1056">
        <v>1083.0730000000001</v>
      </c>
      <c r="Q10" s="1057">
        <f>P10/P28</f>
        <v>1.2876859803572763E-2</v>
      </c>
      <c r="R10" s="1058">
        <v>0.17399999999999999</v>
      </c>
      <c r="S10" s="1059">
        <f t="shared" si="3"/>
        <v>1.6065399100522308E-4</v>
      </c>
      <c r="T10" s="1256">
        <v>1076.818</v>
      </c>
      <c r="U10" s="1257">
        <f>T10/T28</f>
        <v>1.2579369876858927E-2</v>
      </c>
      <c r="V10" s="1258">
        <v>7.6999999999999999E-2</v>
      </c>
      <c r="W10" s="1259">
        <f t="shared" si="4"/>
        <v>7.1506977037902409E-5</v>
      </c>
      <c r="X10" s="1133">
        <v>1094.506781329</v>
      </c>
      <c r="Y10" s="968">
        <f>X10/X28</f>
        <v>1.2765256985619382E-2</v>
      </c>
      <c r="Z10" s="972">
        <v>0.159</v>
      </c>
      <c r="AA10" s="975">
        <f t="shared" si="5"/>
        <v>1.4527091354055838E-4</v>
      </c>
      <c r="AB10" s="330" t="e">
        <f>+#REF!/#REF!</f>
        <v>#REF!</v>
      </c>
      <c r="AD10" s="195"/>
      <c r="AE10" s="195"/>
      <c r="AF10" s="195"/>
      <c r="AG10" s="195"/>
    </row>
    <row r="11" spans="1:33" ht="20.25" customHeight="1">
      <c r="A11" s="173"/>
      <c r="B11" s="108"/>
      <c r="C11" s="717" t="s">
        <v>207</v>
      </c>
      <c r="D11" s="771">
        <v>736.89499999999998</v>
      </c>
      <c r="E11" s="770">
        <f>D11/D28</f>
        <v>8.4052012956713131E-3</v>
      </c>
      <c r="F11" s="772">
        <v>11.414</v>
      </c>
      <c r="G11" s="330">
        <f t="shared" si="0"/>
        <v>1.5489316659768352E-2</v>
      </c>
      <c r="H11" s="771">
        <v>751.048</v>
      </c>
      <c r="I11" s="770">
        <f>H11/H28</f>
        <v>8.6488680575936804E-3</v>
      </c>
      <c r="J11" s="772">
        <v>11.191000000000001</v>
      </c>
      <c r="K11" s="330">
        <f t="shared" si="1"/>
        <v>1.4900512350741897E-2</v>
      </c>
      <c r="L11" s="771">
        <v>708.399</v>
      </c>
      <c r="M11" s="770">
        <f>L11/L28</f>
        <v>8.1407099102078651E-3</v>
      </c>
      <c r="N11" s="772">
        <v>10.433999999999999</v>
      </c>
      <c r="O11" s="330">
        <f t="shared" si="2"/>
        <v>1.4728987477396212E-2</v>
      </c>
      <c r="P11" s="1056">
        <v>676.51400000000001</v>
      </c>
      <c r="Q11" s="1057">
        <f>P11/P28</f>
        <v>8.0432029356785947E-3</v>
      </c>
      <c r="R11" s="1058">
        <v>7.37</v>
      </c>
      <c r="S11" s="1059">
        <f t="shared" si="3"/>
        <v>1.0894083492728902E-2</v>
      </c>
      <c r="T11" s="1256">
        <v>689.47500000000002</v>
      </c>
      <c r="U11" s="1257">
        <f>T11/T28</f>
        <v>8.0544354253432888E-3</v>
      </c>
      <c r="V11" s="1258">
        <v>5.5970000000000004</v>
      </c>
      <c r="W11" s="1259">
        <f t="shared" si="4"/>
        <v>8.117770767613039E-3</v>
      </c>
      <c r="X11" s="1133">
        <v>654.52599999999995</v>
      </c>
      <c r="Y11" s="968">
        <f>X11/X28</f>
        <v>7.6337513264415372E-3</v>
      </c>
      <c r="Z11" s="972">
        <v>3.35</v>
      </c>
      <c r="AA11" s="975">
        <f t="shared" si="5"/>
        <v>5.1182076800616021E-3</v>
      </c>
      <c r="AB11" s="330" t="e">
        <f>+#REF!/#REF!</f>
        <v>#REF!</v>
      </c>
      <c r="AD11" s="195"/>
      <c r="AE11" s="195"/>
      <c r="AF11" s="195"/>
      <c r="AG11" s="195"/>
    </row>
    <row r="12" spans="1:33" ht="20.25" customHeight="1">
      <c r="A12" s="173"/>
      <c r="B12" s="108"/>
      <c r="C12" s="717" t="s">
        <v>208</v>
      </c>
      <c r="D12" s="771">
        <v>4432.9080000000004</v>
      </c>
      <c r="E12" s="770">
        <f>D12/D$28</f>
        <v>5.0562812972257558E-2</v>
      </c>
      <c r="F12" s="772">
        <v>35.79</v>
      </c>
      <c r="G12" s="330">
        <f t="shared" si="0"/>
        <v>8.0737069210549822E-3</v>
      </c>
      <c r="H12" s="771">
        <v>3893.1849999999999</v>
      </c>
      <c r="I12" s="770">
        <f>H12/H$28</f>
        <v>4.4832878043484375E-2</v>
      </c>
      <c r="J12" s="772">
        <v>33.588000000000001</v>
      </c>
      <c r="K12" s="330">
        <f t="shared" si="1"/>
        <v>8.6273834919224236E-3</v>
      </c>
      <c r="L12" s="771">
        <v>3816.0030000000002</v>
      </c>
      <c r="M12" s="770">
        <f>L12/L$28</f>
        <v>4.3852367718592133E-2</v>
      </c>
      <c r="N12" s="772">
        <v>31.876999999999999</v>
      </c>
      <c r="O12" s="330">
        <f t="shared" si="2"/>
        <v>8.35350496317744E-3</v>
      </c>
      <c r="P12" s="1056">
        <v>3022.4450000000002</v>
      </c>
      <c r="Q12" s="1057">
        <f>P12/P$28</f>
        <v>3.5934420421346924E-2</v>
      </c>
      <c r="R12" s="1058">
        <v>23.263000000000002</v>
      </c>
      <c r="S12" s="1059">
        <f t="shared" si="3"/>
        <v>7.6967488242135097E-3</v>
      </c>
      <c r="T12" s="1256">
        <v>3132.2449999999999</v>
      </c>
      <c r="U12" s="1257">
        <f>T12/T$28</f>
        <v>3.6590833734151909E-2</v>
      </c>
      <c r="V12" s="1258">
        <v>27.167999999999999</v>
      </c>
      <c r="W12" s="1259">
        <f t="shared" si="4"/>
        <v>8.6736510075042031E-3</v>
      </c>
      <c r="X12" s="1133">
        <v>3116.4306689999999</v>
      </c>
      <c r="Y12" s="968">
        <f>X12/X$28</f>
        <v>3.6347000353296639E-2</v>
      </c>
      <c r="Z12" s="972">
        <v>24.675999999999998</v>
      </c>
      <c r="AA12" s="975">
        <f t="shared" si="5"/>
        <v>7.9180327178329409E-3</v>
      </c>
      <c r="AB12" s="330" t="e">
        <f>+#REF!/#REF!</f>
        <v>#REF!</v>
      </c>
      <c r="AD12" s="195"/>
      <c r="AE12" s="195"/>
      <c r="AF12" s="195"/>
      <c r="AG12" s="195"/>
    </row>
    <row r="13" spans="1:33" ht="20.25" customHeight="1">
      <c r="A13" s="173"/>
      <c r="B13" s="108"/>
      <c r="C13" s="717" t="s">
        <v>209</v>
      </c>
      <c r="D13" s="771">
        <v>12634.036</v>
      </c>
      <c r="E13" s="770">
        <f>D13/D$28</f>
        <v>0.1441068479997259</v>
      </c>
      <c r="F13" s="772">
        <v>95.302000000000007</v>
      </c>
      <c r="G13" s="330">
        <f t="shared" si="0"/>
        <v>7.5432743740796691E-3</v>
      </c>
      <c r="H13" s="771">
        <v>12731.878000000001</v>
      </c>
      <c r="I13" s="770">
        <f>H13/H$28</f>
        <v>0.14661690457517992</v>
      </c>
      <c r="J13" s="772">
        <v>94.634</v>
      </c>
      <c r="K13" s="330">
        <f t="shared" si="1"/>
        <v>7.4328390517094172E-3</v>
      </c>
      <c r="L13" s="771">
        <v>12485.406999999999</v>
      </c>
      <c r="M13" s="770">
        <f>L13/L$28</f>
        <v>0.14347857139532758</v>
      </c>
      <c r="N13" s="772">
        <v>85.6</v>
      </c>
      <c r="O13" s="330">
        <f t="shared" si="2"/>
        <v>6.8560039732785639E-3</v>
      </c>
      <c r="P13" s="1056">
        <v>12193.623</v>
      </c>
      <c r="Q13" s="1057">
        <f>P13/P$28</f>
        <v>0.14497229075844409</v>
      </c>
      <c r="R13" s="1058">
        <v>63.9</v>
      </c>
      <c r="S13" s="1059">
        <f t="shared" si="3"/>
        <v>5.240444123949051E-3</v>
      </c>
      <c r="T13" s="1256">
        <v>12484.154</v>
      </c>
      <c r="U13" s="1257">
        <f>T13/T$28</f>
        <v>0.14583967835387959</v>
      </c>
      <c r="V13" s="1258">
        <v>59.122999999999998</v>
      </c>
      <c r="W13" s="1259">
        <f t="shared" si="4"/>
        <v>4.7358435341313477E-3</v>
      </c>
      <c r="X13" s="1133">
        <v>12267.447126061999</v>
      </c>
      <c r="Y13" s="968">
        <f>X13/X$28</f>
        <v>0.14307550925498333</v>
      </c>
      <c r="Z13" s="972">
        <v>65.683999999999997</v>
      </c>
      <c r="AA13" s="975">
        <f t="shared" si="5"/>
        <v>5.3543332467645499E-3</v>
      </c>
      <c r="AB13" s="330" t="e">
        <f>+#REF!/#REF!</f>
        <v>#REF!</v>
      </c>
      <c r="AD13" s="195"/>
      <c r="AE13" s="195"/>
      <c r="AF13" s="195"/>
      <c r="AG13" s="195"/>
    </row>
    <row r="14" spans="1:33" ht="20.25" customHeight="1">
      <c r="A14" s="173"/>
      <c r="B14" s="108"/>
      <c r="C14" s="717" t="s">
        <v>210</v>
      </c>
      <c r="D14" s="771">
        <v>2338.5509999999999</v>
      </c>
      <c r="E14" s="770">
        <f>D14/D$28</f>
        <v>2.6674074183151528E-2</v>
      </c>
      <c r="F14" s="772">
        <v>19.327999999999999</v>
      </c>
      <c r="G14" s="330">
        <f t="shared" si="0"/>
        <v>8.26494696929851E-3</v>
      </c>
      <c r="H14" s="771">
        <v>2358.9259999999999</v>
      </c>
      <c r="I14" s="770">
        <f>H14/H$28</f>
        <v>2.7164761415551644E-2</v>
      </c>
      <c r="J14" s="772">
        <v>14.598000000000001</v>
      </c>
      <c r="K14" s="330">
        <f t="shared" si="1"/>
        <v>6.1884094710898101E-3</v>
      </c>
      <c r="L14" s="771">
        <v>2355.8470000000002</v>
      </c>
      <c r="M14" s="770">
        <f>L14/L$28</f>
        <v>2.7072690700909334E-2</v>
      </c>
      <c r="N14" s="772">
        <v>6.4539999999999997</v>
      </c>
      <c r="O14" s="330">
        <f t="shared" si="2"/>
        <v>2.7395667036102084E-3</v>
      </c>
      <c r="P14" s="1056">
        <v>2409.3389999999999</v>
      </c>
      <c r="Q14" s="1057">
        <f>P14/P$28</f>
        <v>2.864508719382737E-2</v>
      </c>
      <c r="R14" s="1058">
        <v>4.6020000000000003</v>
      </c>
      <c r="S14" s="1059">
        <f t="shared" si="3"/>
        <v>1.9100674500350512E-3</v>
      </c>
      <c r="T14" s="1256">
        <v>2292.7939999999999</v>
      </c>
      <c r="U14" s="1257">
        <f>T14/T$28</f>
        <v>2.6784381183675317E-2</v>
      </c>
      <c r="V14" s="1258">
        <v>8.6630000000000003</v>
      </c>
      <c r="W14" s="1259">
        <f t="shared" si="4"/>
        <v>3.7783595037321279E-3</v>
      </c>
      <c r="X14" s="1133">
        <v>2382.0410000000002</v>
      </c>
      <c r="Y14" s="968">
        <f>X14/X$28</f>
        <v>2.7781797275261987E-2</v>
      </c>
      <c r="Z14" s="972">
        <v>6.75</v>
      </c>
      <c r="AA14" s="975">
        <f t="shared" si="5"/>
        <v>2.8337043736862632E-3</v>
      </c>
      <c r="AB14" s="330" t="e">
        <f>+#REF!/#REF!</f>
        <v>#REF!</v>
      </c>
      <c r="AD14" s="195"/>
      <c r="AE14" s="195"/>
      <c r="AF14" s="195"/>
      <c r="AG14" s="195"/>
    </row>
    <row r="15" spans="1:33" ht="20.25" customHeight="1">
      <c r="A15" s="173"/>
      <c r="B15" s="108"/>
      <c r="C15" s="717" t="s">
        <v>211</v>
      </c>
      <c r="D15" s="771">
        <v>3545.1590000000001</v>
      </c>
      <c r="E15" s="770">
        <f>D15/D$28</f>
        <v>4.0436934733117769E-2</v>
      </c>
      <c r="F15" s="772">
        <v>59.936</v>
      </c>
      <c r="G15" s="330">
        <f t="shared" si="0"/>
        <v>1.6906434944102648E-2</v>
      </c>
      <c r="H15" s="771">
        <v>3466.7289999999998</v>
      </c>
      <c r="I15" s="770">
        <f>H15/H$28</f>
        <v>3.9921924713778187E-2</v>
      </c>
      <c r="J15" s="772">
        <v>19.965</v>
      </c>
      <c r="K15" s="330">
        <f t="shared" si="1"/>
        <v>5.7590310635760684E-3</v>
      </c>
      <c r="L15" s="771">
        <v>3487.7840000000001</v>
      </c>
      <c r="M15" s="770">
        <f>L15/L$28</f>
        <v>4.008057291648412E-2</v>
      </c>
      <c r="N15" s="772">
        <v>19.681000000000001</v>
      </c>
      <c r="O15" s="330">
        <f t="shared" si="2"/>
        <v>5.6428379739112289E-3</v>
      </c>
      <c r="P15" s="1056">
        <v>3535.0070000000001</v>
      </c>
      <c r="Q15" s="1057">
        <f>P15/P$28</f>
        <v>4.2028367010947865E-2</v>
      </c>
      <c r="R15" s="1058">
        <v>17.77</v>
      </c>
      <c r="S15" s="1059">
        <f t="shared" si="3"/>
        <v>5.0268641617965673E-3</v>
      </c>
      <c r="T15" s="1256">
        <v>3581.8029999999999</v>
      </c>
      <c r="U15" s="1257">
        <f>T15/T$28</f>
        <v>4.1842562775736419E-2</v>
      </c>
      <c r="V15" s="1258">
        <v>8.83</v>
      </c>
      <c r="W15" s="1259">
        <f t="shared" si="4"/>
        <v>2.4652388755048785E-3</v>
      </c>
      <c r="X15" s="1133">
        <v>3643.3539999999998</v>
      </c>
      <c r="Y15" s="968">
        <f>X15/X$28</f>
        <v>4.2492518907111532E-2</v>
      </c>
      <c r="Z15" s="972">
        <v>15.077</v>
      </c>
      <c r="AA15" s="975">
        <f t="shared" si="5"/>
        <v>4.1382198929887136E-3</v>
      </c>
      <c r="AB15" s="330" t="e">
        <f>+#REF!/#REF!</f>
        <v>#REF!</v>
      </c>
      <c r="AD15" s="195"/>
      <c r="AE15" s="195"/>
      <c r="AF15" s="195"/>
      <c r="AG15" s="195"/>
    </row>
    <row r="16" spans="1:33" ht="20.25" customHeight="1">
      <c r="A16" s="173"/>
      <c r="B16" s="108"/>
      <c r="C16" s="718" t="s">
        <v>212</v>
      </c>
      <c r="D16" s="771">
        <v>2095.3290000000002</v>
      </c>
      <c r="E16" s="770">
        <f>D16/D$28</f>
        <v>2.3899825654479508E-2</v>
      </c>
      <c r="F16" s="772">
        <v>13.576000000000001</v>
      </c>
      <c r="G16" s="330">
        <f t="shared" si="0"/>
        <v>6.4791734376797149E-3</v>
      </c>
      <c r="H16" s="771">
        <v>2125.7620000000002</v>
      </c>
      <c r="I16" s="770">
        <f>H16/H$28</f>
        <v>2.4479707102404186E-2</v>
      </c>
      <c r="J16" s="772">
        <v>15.444000000000001</v>
      </c>
      <c r="K16" s="330">
        <f t="shared" si="1"/>
        <v>7.2651595051562686E-3</v>
      </c>
      <c r="L16" s="771">
        <v>2070.6990000000001</v>
      </c>
      <c r="M16" s="770">
        <f>L16/L$28</f>
        <v>2.3795854977713856E-2</v>
      </c>
      <c r="N16" s="772">
        <v>17.364000000000001</v>
      </c>
      <c r="O16" s="330">
        <f t="shared" si="2"/>
        <v>8.3855741467011857E-3</v>
      </c>
      <c r="P16" s="1056">
        <v>2044.058</v>
      </c>
      <c r="Q16" s="1057">
        <f>P16/P$28</f>
        <v>2.4302192277317718E-2</v>
      </c>
      <c r="R16" s="1058">
        <v>16.622</v>
      </c>
      <c r="S16" s="1059">
        <f t="shared" si="3"/>
        <v>8.131863185878288E-3</v>
      </c>
      <c r="T16" s="1256">
        <v>2031.796</v>
      </c>
      <c r="U16" s="1257">
        <f>T16/T$28</f>
        <v>2.3735406910287964E-2</v>
      </c>
      <c r="V16" s="1258">
        <v>16.84</v>
      </c>
      <c r="W16" s="1259">
        <f t="shared" si="4"/>
        <v>8.2882336612533931E-3</v>
      </c>
      <c r="X16" s="1133">
        <v>2139.7495008800001</v>
      </c>
      <c r="Y16" s="968">
        <f>X16/X$28</f>
        <v>2.495594612069699E-2</v>
      </c>
      <c r="Z16" s="972">
        <v>10.709</v>
      </c>
      <c r="AA16" s="975">
        <f t="shared" si="5"/>
        <v>5.0047914466603604E-3</v>
      </c>
      <c r="AB16" s="330" t="e">
        <f>+#REF!/#REF!</f>
        <v>#REF!</v>
      </c>
      <c r="AD16" s="186"/>
      <c r="AE16" s="186"/>
      <c r="AF16" s="186"/>
      <c r="AG16" s="186"/>
    </row>
    <row r="17" spans="1:33" ht="20.25" customHeight="1">
      <c r="A17" s="173"/>
      <c r="B17" s="108"/>
      <c r="C17" s="717" t="s">
        <v>213</v>
      </c>
      <c r="D17" s="771">
        <v>1973.6959999999999</v>
      </c>
      <c r="E17" s="770">
        <f t="shared" ref="E17:E28" si="6">D17/D$28</f>
        <v>2.251245045286138E-2</v>
      </c>
      <c r="F17" s="772">
        <v>108.479</v>
      </c>
      <c r="G17" s="330">
        <f t="shared" si="0"/>
        <v>5.4962365024806253E-2</v>
      </c>
      <c r="H17" s="771">
        <v>1523.893</v>
      </c>
      <c r="I17" s="770">
        <f t="shared" ref="I17:I28" si="7">H17/H$28</f>
        <v>1.7548744542147249E-2</v>
      </c>
      <c r="J17" s="772">
        <v>0.46200000000000002</v>
      </c>
      <c r="K17" s="330">
        <f t="shared" si="1"/>
        <v>3.0317089191957705E-4</v>
      </c>
      <c r="L17" s="771">
        <v>1522.1289999999999</v>
      </c>
      <c r="M17" s="770">
        <f t="shared" ref="M17:M28" si="8">L17/L$28</f>
        <v>1.7491852239930869E-2</v>
      </c>
      <c r="N17" s="772">
        <v>0.58899999999999997</v>
      </c>
      <c r="O17" s="330">
        <f t="shared" si="2"/>
        <v>3.8695800421646259E-4</v>
      </c>
      <c r="P17" s="1056">
        <v>1546.6179999999999</v>
      </c>
      <c r="Q17" s="1057">
        <f t="shared" ref="Q17:Q28" si="9">P17/P$28</f>
        <v>1.838803400664784E-2</v>
      </c>
      <c r="R17" s="1058">
        <v>0.55300000000000005</v>
      </c>
      <c r="S17" s="1059">
        <f t="shared" si="3"/>
        <v>3.5755435408096897E-4</v>
      </c>
      <c r="T17" s="1256">
        <v>1400.327</v>
      </c>
      <c r="U17" s="1257">
        <f t="shared" ref="U17:U21" si="10">T17/T$28</f>
        <v>1.6358596607367479E-2</v>
      </c>
      <c r="V17" s="1258">
        <v>0.58899999999999997</v>
      </c>
      <c r="W17" s="1259">
        <f t="shared" si="4"/>
        <v>4.2061604182451668E-4</v>
      </c>
      <c r="X17" s="1133">
        <v>1522.8420000000001</v>
      </c>
      <c r="Y17" s="968">
        <f t="shared" ref="Y17:Y28" si="11">X17/X$28</f>
        <v>1.7760940187954162E-2</v>
      </c>
      <c r="Z17" s="972">
        <v>0.7</v>
      </c>
      <c r="AA17" s="975">
        <f t="shared" si="5"/>
        <v>4.5966685972674771E-4</v>
      </c>
      <c r="AB17" s="330" t="e">
        <f>+#REF!/#REF!</f>
        <v>#REF!</v>
      </c>
      <c r="AD17" s="186"/>
      <c r="AE17" s="186"/>
      <c r="AF17" s="186"/>
      <c r="AG17" s="186"/>
    </row>
    <row r="18" spans="1:33" ht="20.25" customHeight="1">
      <c r="A18" s="173"/>
      <c r="B18" s="108"/>
      <c r="C18" s="717" t="s">
        <v>214</v>
      </c>
      <c r="D18" s="771">
        <v>23195.248</v>
      </c>
      <c r="E18" s="770">
        <f t="shared" si="6"/>
        <v>0.26457056777833671</v>
      </c>
      <c r="F18" s="772">
        <v>364.43900000000002</v>
      </c>
      <c r="G18" s="330">
        <f t="shared" si="0"/>
        <v>1.5711795795414648E-2</v>
      </c>
      <c r="H18" s="771">
        <v>23565.673999999999</v>
      </c>
      <c r="I18" s="770">
        <f t="shared" si="7"/>
        <v>0.27137600408264972</v>
      </c>
      <c r="J18" s="772">
        <v>82.623000000000005</v>
      </c>
      <c r="K18" s="330">
        <f t="shared" si="1"/>
        <v>3.5060741313827906E-3</v>
      </c>
      <c r="L18" s="771">
        <v>24231.401000000002</v>
      </c>
      <c r="M18" s="770">
        <f t="shared" si="8"/>
        <v>0.27846002924752972</v>
      </c>
      <c r="N18" s="772">
        <v>151.161</v>
      </c>
      <c r="O18" s="330">
        <f t="shared" si="2"/>
        <v>6.2382278267773287E-3</v>
      </c>
      <c r="P18" s="1056">
        <v>24386.616000000002</v>
      </c>
      <c r="Q18" s="1057">
        <f t="shared" si="9"/>
        <v>0.28993709132769852</v>
      </c>
      <c r="R18" s="1058">
        <v>72.927999999999997</v>
      </c>
      <c r="S18" s="1059">
        <f t="shared" si="3"/>
        <v>2.9904928178636999E-3</v>
      </c>
      <c r="T18" s="1256">
        <v>24852.166000000001</v>
      </c>
      <c r="U18" s="1257">
        <f t="shared" si="10"/>
        <v>0.29032258780508652</v>
      </c>
      <c r="V18" s="1258">
        <v>70.540000000000006</v>
      </c>
      <c r="W18" s="1259">
        <f t="shared" si="4"/>
        <v>2.8383843887088154E-3</v>
      </c>
      <c r="X18" s="1133">
        <v>25644.043992678002</v>
      </c>
      <c r="Y18" s="968">
        <f t="shared" si="11"/>
        <v>0.2990870566553977</v>
      </c>
      <c r="Z18" s="972">
        <v>33.686999999999998</v>
      </c>
      <c r="AA18" s="975">
        <f t="shared" si="5"/>
        <v>1.3136383641214489E-3</v>
      </c>
      <c r="AB18" s="330" t="e">
        <f>+#REF!/#REF!</f>
        <v>#REF!</v>
      </c>
      <c r="AD18" s="186"/>
      <c r="AE18" s="186"/>
      <c r="AF18" s="186"/>
      <c r="AG18" s="186"/>
    </row>
    <row r="19" spans="1:33" ht="20.25" customHeight="1">
      <c r="A19" s="173"/>
      <c r="B19" s="108"/>
      <c r="C19" s="717" t="s">
        <v>215</v>
      </c>
      <c r="D19" s="771">
        <v>2188.2130000000002</v>
      </c>
      <c r="E19" s="770">
        <f t="shared" si="6"/>
        <v>2.4959282859572683E-2</v>
      </c>
      <c r="F19" s="772">
        <v>13.305</v>
      </c>
      <c r="G19" s="330">
        <f t="shared" si="0"/>
        <v>6.0803038826659009E-3</v>
      </c>
      <c r="H19" s="771">
        <v>2374.203</v>
      </c>
      <c r="I19" s="770">
        <f t="shared" si="7"/>
        <v>2.7340687264919273E-2</v>
      </c>
      <c r="J19" s="772">
        <v>11.003</v>
      </c>
      <c r="K19" s="330">
        <f t="shared" si="1"/>
        <v>4.6343973114346161E-3</v>
      </c>
      <c r="L19" s="771">
        <v>2452.54</v>
      </c>
      <c r="M19" s="770">
        <f t="shared" si="8"/>
        <v>2.8183857802144271E-2</v>
      </c>
      <c r="N19" s="772">
        <v>5.3780000000000001</v>
      </c>
      <c r="O19" s="330">
        <f t="shared" si="2"/>
        <v>2.1928286592675351E-3</v>
      </c>
      <c r="P19" s="1056">
        <v>2123.8890000000001</v>
      </c>
      <c r="Q19" s="1057">
        <f t="shared" si="9"/>
        <v>2.525131813954401E-2</v>
      </c>
      <c r="R19" s="1058">
        <v>5.0419999999999998</v>
      </c>
      <c r="S19" s="1059">
        <f t="shared" si="3"/>
        <v>2.3739470377218395E-3</v>
      </c>
      <c r="T19" s="1256">
        <v>2441.4389999999999</v>
      </c>
      <c r="U19" s="1257">
        <f t="shared" si="10"/>
        <v>2.8520849589056447E-2</v>
      </c>
      <c r="V19" s="1258">
        <v>5.601</v>
      </c>
      <c r="W19" s="1259">
        <f t="shared" si="4"/>
        <v>2.2941388255041393E-3</v>
      </c>
      <c r="X19" s="1133">
        <v>2272.1280000000002</v>
      </c>
      <c r="Y19" s="968">
        <f t="shared" si="11"/>
        <v>2.6499879506459573E-2</v>
      </c>
      <c r="Z19" s="972">
        <v>6.4359999999999999</v>
      </c>
      <c r="AA19" s="975">
        <f t="shared" si="5"/>
        <v>2.8325868965128724E-3</v>
      </c>
      <c r="AB19" s="330" t="e">
        <f>+#REF!/#REF!</f>
        <v>#REF!</v>
      </c>
      <c r="AD19" s="186"/>
      <c r="AE19" s="186"/>
      <c r="AF19" s="186"/>
      <c r="AG19" s="186"/>
    </row>
    <row r="20" spans="1:33" ht="20.25" customHeight="1">
      <c r="A20" s="173"/>
      <c r="B20" s="108"/>
      <c r="C20" s="717" t="s">
        <v>216</v>
      </c>
      <c r="D20" s="771">
        <v>546.97799999999995</v>
      </c>
      <c r="E20" s="770">
        <f t="shared" si="6"/>
        <v>6.2389623953259324E-3</v>
      </c>
      <c r="F20" s="772">
        <v>5.6559999999999997</v>
      </c>
      <c r="G20" s="330">
        <f t="shared" si="0"/>
        <v>1.0340452449641485E-2</v>
      </c>
      <c r="H20" s="771">
        <v>537.63499999999999</v>
      </c>
      <c r="I20" s="770">
        <f t="shared" si="7"/>
        <v>6.1912609821800722E-3</v>
      </c>
      <c r="J20" s="772">
        <v>3.4769999999999999</v>
      </c>
      <c r="K20" s="330">
        <f t="shared" si="1"/>
        <v>6.4672128860658248E-3</v>
      </c>
      <c r="L20" s="771">
        <v>552.37599999999998</v>
      </c>
      <c r="M20" s="770">
        <f t="shared" si="8"/>
        <v>6.3477401540106351E-3</v>
      </c>
      <c r="N20" s="772">
        <v>3.2010000000000001</v>
      </c>
      <c r="O20" s="330">
        <f t="shared" si="2"/>
        <v>5.7949657479687755E-3</v>
      </c>
      <c r="P20" s="1056">
        <v>575.68399999999997</v>
      </c>
      <c r="Q20" s="1057">
        <f t="shared" si="9"/>
        <v>6.8444159896516501E-3</v>
      </c>
      <c r="R20" s="1058">
        <v>2.4279999999999999</v>
      </c>
      <c r="S20" s="1059">
        <f t="shared" si="3"/>
        <v>4.217591595389137E-3</v>
      </c>
      <c r="T20" s="1256">
        <v>593.55100000000004</v>
      </c>
      <c r="U20" s="1257">
        <f t="shared" si="10"/>
        <v>6.9338528607243693E-3</v>
      </c>
      <c r="V20" s="1258">
        <v>3.0259999999999998</v>
      </c>
      <c r="W20" s="1259">
        <f t="shared" si="4"/>
        <v>5.0981297310593353E-3</v>
      </c>
      <c r="X20" s="1133">
        <v>617.65200000000004</v>
      </c>
      <c r="Y20" s="968">
        <f t="shared" si="11"/>
        <v>7.2036890425732037E-3</v>
      </c>
      <c r="Z20" s="972">
        <v>2.6640000000000001</v>
      </c>
      <c r="AA20" s="975">
        <f t="shared" si="5"/>
        <v>4.3131083522760386E-3</v>
      </c>
      <c r="AB20" s="330" t="e">
        <f>+#REF!/#REF!</f>
        <v>#REF!</v>
      </c>
      <c r="AD20" s="186"/>
      <c r="AE20" s="186"/>
      <c r="AF20" s="186"/>
      <c r="AG20" s="186"/>
    </row>
    <row r="21" spans="1:33" ht="20.25" customHeight="1">
      <c r="A21" s="173"/>
      <c r="B21" s="108"/>
      <c r="C21" s="717" t="s">
        <v>217</v>
      </c>
      <c r="D21" s="771">
        <v>0.112</v>
      </c>
      <c r="E21" s="770">
        <f t="shared" si="6"/>
        <v>1.2774988907716663E-6</v>
      </c>
      <c r="F21" s="772">
        <v>0</v>
      </c>
      <c r="G21" s="330">
        <f t="shared" si="0"/>
        <v>0</v>
      </c>
      <c r="H21" s="771">
        <v>0.11899999999999999</v>
      </c>
      <c r="I21" s="770">
        <f t="shared" si="7"/>
        <v>1.3703721983863188E-6</v>
      </c>
      <c r="J21" s="772">
        <v>0</v>
      </c>
      <c r="K21" s="330">
        <f t="shared" si="1"/>
        <v>0</v>
      </c>
      <c r="L21" s="771">
        <v>0.105</v>
      </c>
      <c r="M21" s="770">
        <f t="shared" si="8"/>
        <v>1.2066286662909262E-6</v>
      </c>
      <c r="N21" s="772">
        <v>0</v>
      </c>
      <c r="O21" s="330">
        <f t="shared" si="2"/>
        <v>0</v>
      </c>
      <c r="P21" s="1056">
        <v>0.12</v>
      </c>
      <c r="Q21" s="1057">
        <f t="shared" si="9"/>
        <v>1.4267027027991016E-6</v>
      </c>
      <c r="R21" s="1058">
        <v>0</v>
      </c>
      <c r="S21" s="1059">
        <f t="shared" si="3"/>
        <v>0</v>
      </c>
      <c r="T21" s="1256">
        <v>0.14000000000000001</v>
      </c>
      <c r="U21" s="1257">
        <f t="shared" si="10"/>
        <v>1.6354776598833323E-6</v>
      </c>
      <c r="V21" s="1258">
        <v>0</v>
      </c>
      <c r="W21" s="1259">
        <f t="shared" si="4"/>
        <v>0</v>
      </c>
      <c r="X21" s="1133">
        <v>0.14099999999999999</v>
      </c>
      <c r="Y21" s="968">
        <f t="shared" si="11"/>
        <v>1.6444861426868554E-6</v>
      </c>
      <c r="Z21" s="972">
        <v>0</v>
      </c>
      <c r="AA21" s="975">
        <f t="shared" si="5"/>
        <v>0</v>
      </c>
      <c r="AB21" s="330" t="e">
        <f>+#REF!/#REF!</f>
        <v>#REF!</v>
      </c>
      <c r="AD21" s="195"/>
      <c r="AE21" s="195"/>
      <c r="AF21" s="195"/>
      <c r="AG21" s="195"/>
    </row>
    <row r="22" spans="1:33" ht="20.25" customHeight="1">
      <c r="A22" s="173"/>
      <c r="B22" s="108"/>
      <c r="C22" s="717" t="s">
        <v>218</v>
      </c>
      <c r="D22" s="771">
        <v>476.09399999999999</v>
      </c>
      <c r="E22" s="770">
        <f t="shared" si="6"/>
        <v>5.4304424723486226E-3</v>
      </c>
      <c r="F22" s="772">
        <v>1.7170000000000001</v>
      </c>
      <c r="G22" s="330">
        <f t="shared" si="0"/>
        <v>3.6064306628522942E-3</v>
      </c>
      <c r="H22" s="771">
        <v>487.41399999999999</v>
      </c>
      <c r="I22" s="770">
        <f t="shared" si="7"/>
        <v>5.6129293672627662E-3</v>
      </c>
      <c r="J22" s="772">
        <v>2.0230000000000001</v>
      </c>
      <c r="K22" s="330">
        <f t="shared" si="1"/>
        <v>4.1504757762395013E-3</v>
      </c>
      <c r="L22" s="771">
        <v>501.69400000000002</v>
      </c>
      <c r="M22" s="770">
        <f t="shared" si="8"/>
        <v>5.7653177343443811E-3</v>
      </c>
      <c r="N22" s="772">
        <v>1.1679999999999999</v>
      </c>
      <c r="O22" s="330">
        <f t="shared" si="2"/>
        <v>2.3281123553401074E-3</v>
      </c>
      <c r="P22" s="1056">
        <v>519.83900000000006</v>
      </c>
      <c r="Q22" s="1057">
        <f t="shared" si="9"/>
        <v>6.1804642193365187E-3</v>
      </c>
      <c r="R22" s="1058">
        <v>1.1830000000000001</v>
      </c>
      <c r="S22" s="1059">
        <f t="shared" si="3"/>
        <v>2.27570459315288E-3</v>
      </c>
      <c r="T22" s="1256">
        <v>540.40800000000002</v>
      </c>
      <c r="U22" s="1257">
        <f>T22/T$28</f>
        <v>6.3130372230159413E-3</v>
      </c>
      <c r="V22" s="1258">
        <v>1.8580000000000001</v>
      </c>
      <c r="W22" s="1259">
        <f t="shared" si="4"/>
        <v>3.4381430326716114E-3</v>
      </c>
      <c r="X22" s="1133">
        <v>552.37300000000005</v>
      </c>
      <c r="Y22" s="968">
        <f>X22/X$28</f>
        <v>6.4423386105983442E-3</v>
      </c>
      <c r="Z22" s="972">
        <v>2.1739999999999999</v>
      </c>
      <c r="AA22" s="975">
        <f t="shared" si="5"/>
        <v>3.9357463163478294E-3</v>
      </c>
      <c r="AB22" s="330" t="e">
        <f>+#REF!/#REF!</f>
        <v>#REF!</v>
      </c>
      <c r="AD22" s="195"/>
      <c r="AE22" s="195"/>
      <c r="AF22" s="195"/>
      <c r="AG22" s="195"/>
    </row>
    <row r="23" spans="1:33" ht="20.25" customHeight="1">
      <c r="A23" s="173"/>
      <c r="B23" s="108"/>
      <c r="C23" s="717" t="s">
        <v>219</v>
      </c>
      <c r="D23" s="771">
        <v>1127.0650000000001</v>
      </c>
      <c r="E23" s="770">
        <f t="shared" si="6"/>
        <v>1.2855573993996144E-2</v>
      </c>
      <c r="F23" s="772">
        <v>1.724</v>
      </c>
      <c r="G23" s="330">
        <f t="shared" si="0"/>
        <v>1.5296367112810707E-3</v>
      </c>
      <c r="H23" s="771">
        <v>1161.4929999999999</v>
      </c>
      <c r="I23" s="770">
        <f t="shared" si="7"/>
        <v>1.3375442990086727E-2</v>
      </c>
      <c r="J23" s="772">
        <v>1.204</v>
      </c>
      <c r="K23" s="330">
        <f t="shared" si="1"/>
        <v>1.0365968628308565E-3</v>
      </c>
      <c r="L23" s="771">
        <v>1160.402</v>
      </c>
      <c r="M23" s="770">
        <f t="shared" si="8"/>
        <v>1.3334993501155462E-2</v>
      </c>
      <c r="N23" s="772">
        <v>3.375</v>
      </c>
      <c r="O23" s="330">
        <f t="shared" si="2"/>
        <v>2.9084748216566328E-3</v>
      </c>
      <c r="P23" s="1056">
        <v>1191.4670000000001</v>
      </c>
      <c r="Q23" s="1057">
        <f t="shared" si="9"/>
        <v>1.4165576576632812E-2</v>
      </c>
      <c r="R23" s="1058">
        <v>3.9769999999999999</v>
      </c>
      <c r="S23" s="1059">
        <f t="shared" si="3"/>
        <v>3.337901930980883E-3</v>
      </c>
      <c r="T23" s="1256">
        <v>1237.644</v>
      </c>
      <c r="U23" s="1257">
        <f t="shared" ref="U23:U28" si="12">T23/T$28</f>
        <v>1.4458136520633191E-2</v>
      </c>
      <c r="V23" s="1258">
        <v>2.379</v>
      </c>
      <c r="W23" s="1259">
        <f t="shared" si="4"/>
        <v>1.9222005681763092E-3</v>
      </c>
      <c r="X23" s="1133">
        <v>1273.172</v>
      </c>
      <c r="Y23" s="968">
        <f t="shared" si="11"/>
        <v>1.4849033413169569E-2</v>
      </c>
      <c r="Z23" s="972">
        <v>1.5740000000000001</v>
      </c>
      <c r="AA23" s="975">
        <f t="shared" si="5"/>
        <v>1.2362822933586349E-3</v>
      </c>
      <c r="AB23" s="330" t="e">
        <f>+#REF!/#REF!</f>
        <v>#REF!</v>
      </c>
      <c r="AD23" s="186"/>
      <c r="AE23" s="186"/>
      <c r="AF23" s="186"/>
      <c r="AG23" s="186"/>
    </row>
    <row r="24" spans="1:33" ht="20.25" customHeight="1">
      <c r="A24" s="173"/>
      <c r="B24" s="108"/>
      <c r="C24" s="717" t="s">
        <v>220</v>
      </c>
      <c r="D24" s="771">
        <v>1539</v>
      </c>
      <c r="E24" s="770">
        <f t="shared" si="6"/>
        <v>1.7554203508014236E-2</v>
      </c>
      <c r="F24" s="772">
        <v>11.866</v>
      </c>
      <c r="G24" s="330">
        <f t="shared" si="0"/>
        <v>7.7102014294996753E-3</v>
      </c>
      <c r="H24" s="771">
        <v>1593.511</v>
      </c>
      <c r="I24" s="770">
        <f t="shared" si="7"/>
        <v>1.8350446825401524E-2</v>
      </c>
      <c r="J24" s="772">
        <v>28.795000000000002</v>
      </c>
      <c r="K24" s="330">
        <f t="shared" si="1"/>
        <v>1.8070160795877782E-2</v>
      </c>
      <c r="L24" s="771">
        <v>1578.7270000000001</v>
      </c>
      <c r="M24" s="770">
        <f t="shared" si="8"/>
        <v>1.8142259566166431E-2</v>
      </c>
      <c r="N24" s="772">
        <v>29.79</v>
      </c>
      <c r="O24" s="330">
        <f t="shared" si="2"/>
        <v>1.8869633571858845E-2</v>
      </c>
      <c r="P24" s="1056">
        <v>1577.8140000000001</v>
      </c>
      <c r="Q24" s="1057">
        <f t="shared" si="9"/>
        <v>1.8758929152618849E-2</v>
      </c>
      <c r="R24" s="1058">
        <v>15.79</v>
      </c>
      <c r="S24" s="1059">
        <f t="shared" si="3"/>
        <v>1.0007516728841294E-2</v>
      </c>
      <c r="T24" s="1256">
        <v>1581.1669999999999</v>
      </c>
      <c r="U24" s="1257">
        <f t="shared" si="12"/>
        <v>1.8471166464605348E-2</v>
      </c>
      <c r="V24" s="1258">
        <v>14.737</v>
      </c>
      <c r="W24" s="1259">
        <f t="shared" si="4"/>
        <v>9.3203311225190013E-3</v>
      </c>
      <c r="X24" s="1133">
        <v>1485.6210658489999</v>
      </c>
      <c r="Y24" s="968">
        <f t="shared" si="11"/>
        <v>1.7326831603350048E-2</v>
      </c>
      <c r="Z24" s="972">
        <v>15.173</v>
      </c>
      <c r="AA24" s="975">
        <f t="shared" si="5"/>
        <v>1.0213236974617726E-2</v>
      </c>
      <c r="AB24" s="330" t="e">
        <f>+#REF!/#REF!</f>
        <v>#REF!</v>
      </c>
      <c r="AD24" s="186"/>
      <c r="AE24" s="186"/>
      <c r="AF24" s="186"/>
      <c r="AG24" s="186"/>
    </row>
    <row r="25" spans="1:33" ht="20.25" customHeight="1">
      <c r="A25" s="168"/>
      <c r="B25" s="108"/>
      <c r="C25" s="717" t="s">
        <v>221</v>
      </c>
      <c r="D25" s="771">
        <v>1096.3320000000001</v>
      </c>
      <c r="E25" s="770">
        <f t="shared" si="6"/>
        <v>1.250502601712038E-2</v>
      </c>
      <c r="F25" s="772">
        <v>3.8530000000000002</v>
      </c>
      <c r="G25" s="330">
        <f t="shared" si="0"/>
        <v>3.5144463538417194E-3</v>
      </c>
      <c r="H25" s="771">
        <v>1093.172</v>
      </c>
      <c r="I25" s="770">
        <f t="shared" si="7"/>
        <v>1.2588676612221588E-2</v>
      </c>
      <c r="J25" s="772">
        <v>5.2729999999999997</v>
      </c>
      <c r="K25" s="330">
        <f t="shared" si="1"/>
        <v>4.8235776254788813E-3</v>
      </c>
      <c r="L25" s="771">
        <v>1104.51</v>
      </c>
      <c r="M25" s="770">
        <f t="shared" si="8"/>
        <v>1.269269931623801E-2</v>
      </c>
      <c r="N25" s="772">
        <v>6.9050000000000002</v>
      </c>
      <c r="O25" s="330">
        <f t="shared" si="2"/>
        <v>6.2516409991761057E-3</v>
      </c>
      <c r="P25" s="1056">
        <v>1174.5</v>
      </c>
      <c r="Q25" s="1057">
        <f t="shared" si="9"/>
        <v>1.3963852703646208E-2</v>
      </c>
      <c r="R25" s="1058">
        <v>7.4139999999999997</v>
      </c>
      <c r="S25" s="1059">
        <f t="shared" si="3"/>
        <v>6.3124733929331624E-3</v>
      </c>
      <c r="T25" s="1256">
        <v>1205.8920000000001</v>
      </c>
      <c r="U25" s="1257">
        <f t="shared" si="12"/>
        <v>1.4087210187371652E-2</v>
      </c>
      <c r="V25" s="1258">
        <v>5.8029999999999999</v>
      </c>
      <c r="W25" s="1259">
        <f t="shared" si="4"/>
        <v>4.8122054047957854E-3</v>
      </c>
      <c r="X25" s="1133">
        <v>1190.5630000000001</v>
      </c>
      <c r="Y25" s="968">
        <f t="shared" si="11"/>
        <v>1.3885562804933978E-2</v>
      </c>
      <c r="Z25" s="972">
        <v>6.2140000000000004</v>
      </c>
      <c r="AA25" s="975">
        <f>+Z25/X25</f>
        <v>5.2193794028539435E-3</v>
      </c>
      <c r="AB25" s="330" t="e">
        <f>+#REF!/#REF!</f>
        <v>#REF!</v>
      </c>
      <c r="AD25" s="186"/>
      <c r="AE25" s="186"/>
      <c r="AF25" s="186"/>
      <c r="AG25" s="186"/>
    </row>
    <row r="26" spans="1:33" ht="20.25" customHeight="1">
      <c r="A26" s="173"/>
      <c r="B26" s="108"/>
      <c r="C26" s="717" t="s">
        <v>222</v>
      </c>
      <c r="D26" s="771">
        <v>2.1000000000000001E-2</v>
      </c>
      <c r="E26" s="770">
        <f t="shared" si="6"/>
        <v>2.3953104201968748E-7</v>
      </c>
      <c r="F26" s="772">
        <v>0</v>
      </c>
      <c r="G26" s="330">
        <f t="shared" si="0"/>
        <v>0</v>
      </c>
      <c r="H26" s="771">
        <v>1.9E-2</v>
      </c>
      <c r="I26" s="770">
        <f t="shared" si="7"/>
        <v>2.1879892243142907E-7</v>
      </c>
      <c r="J26" s="772">
        <v>0</v>
      </c>
      <c r="K26" s="330">
        <f t="shared" si="1"/>
        <v>0</v>
      </c>
      <c r="L26" s="771">
        <v>0.04</v>
      </c>
      <c r="M26" s="770">
        <f t="shared" si="8"/>
        <v>4.5966806334892432E-7</v>
      </c>
      <c r="N26" s="772">
        <v>0</v>
      </c>
      <c r="O26" s="330">
        <f t="shared" si="2"/>
        <v>0</v>
      </c>
      <c r="P26" s="1056">
        <v>0</v>
      </c>
      <c r="Q26" s="1057">
        <f t="shared" si="9"/>
        <v>0</v>
      </c>
      <c r="R26" s="1058">
        <v>0</v>
      </c>
      <c r="S26" s="1059" t="s">
        <v>2</v>
      </c>
      <c r="T26" s="1256">
        <v>0</v>
      </c>
      <c r="U26" s="1257">
        <f t="shared" si="12"/>
        <v>0</v>
      </c>
      <c r="V26" s="1258">
        <v>0</v>
      </c>
      <c r="W26" s="1259" t="s">
        <v>2</v>
      </c>
      <c r="X26" s="1133">
        <v>0</v>
      </c>
      <c r="Y26" s="968">
        <f t="shared" si="11"/>
        <v>0</v>
      </c>
      <c r="Z26" s="972">
        <v>0</v>
      </c>
      <c r="AA26" s="975" t="s">
        <v>2</v>
      </c>
      <c r="AB26" s="330" t="e">
        <f>+#REF!/#REF!</f>
        <v>#REF!</v>
      </c>
      <c r="AD26" s="186"/>
      <c r="AE26" s="186"/>
      <c r="AF26" s="186"/>
      <c r="AG26" s="186"/>
    </row>
    <row r="27" spans="1:33" ht="20.25" customHeight="1">
      <c r="A27" s="173"/>
      <c r="B27" s="108"/>
      <c r="C27" s="717" t="s">
        <v>223</v>
      </c>
      <c r="D27" s="771">
        <v>0</v>
      </c>
      <c r="E27" s="770">
        <f t="shared" si="6"/>
        <v>0</v>
      </c>
      <c r="F27" s="772">
        <v>0</v>
      </c>
      <c r="G27" s="330" t="s">
        <v>2</v>
      </c>
      <c r="H27" s="771">
        <v>0</v>
      </c>
      <c r="I27" s="770">
        <f t="shared" si="7"/>
        <v>0</v>
      </c>
      <c r="J27" s="772">
        <v>0</v>
      </c>
      <c r="K27" s="330" t="s">
        <v>2</v>
      </c>
      <c r="L27" s="771">
        <v>0</v>
      </c>
      <c r="M27" s="770">
        <f t="shared" si="8"/>
        <v>0</v>
      </c>
      <c r="N27" s="772">
        <v>0</v>
      </c>
      <c r="O27" s="330" t="s">
        <v>2</v>
      </c>
      <c r="P27" s="1056">
        <v>0</v>
      </c>
      <c r="Q27" s="1057">
        <f t="shared" si="9"/>
        <v>0</v>
      </c>
      <c r="R27" s="1058">
        <v>0</v>
      </c>
      <c r="S27" s="1059" t="s">
        <v>2</v>
      </c>
      <c r="T27" s="1256">
        <v>0</v>
      </c>
      <c r="U27" s="1257">
        <f t="shared" si="12"/>
        <v>0</v>
      </c>
      <c r="V27" s="1258">
        <v>0</v>
      </c>
      <c r="W27" s="1259" t="s">
        <v>2</v>
      </c>
      <c r="X27" s="1133">
        <v>0</v>
      </c>
      <c r="Y27" s="968">
        <f t="shared" si="11"/>
        <v>0</v>
      </c>
      <c r="Z27" s="972">
        <v>0</v>
      </c>
      <c r="AA27" s="975" t="s">
        <v>2</v>
      </c>
      <c r="AB27" s="330"/>
      <c r="AD27" s="186"/>
      <c r="AE27" s="186"/>
      <c r="AF27" s="186"/>
      <c r="AG27" s="186"/>
    </row>
    <row r="28" spans="1:33" ht="20.25" customHeight="1" thickBot="1">
      <c r="A28" s="173"/>
      <c r="B28" s="108"/>
      <c r="C28" s="719" t="s">
        <v>183</v>
      </c>
      <c r="D28" s="775">
        <v>87671.308999999994</v>
      </c>
      <c r="E28" s="773">
        <f t="shared" si="6"/>
        <v>1</v>
      </c>
      <c r="F28" s="824">
        <v>1000.925</v>
      </c>
      <c r="G28" s="774">
        <f>+F28/D28</f>
        <v>1.1416790868264554E-2</v>
      </c>
      <c r="H28" s="775">
        <v>86837.721999999994</v>
      </c>
      <c r="I28" s="773">
        <f t="shared" si="7"/>
        <v>1</v>
      </c>
      <c r="J28" s="824">
        <v>723.68700000000001</v>
      </c>
      <c r="K28" s="774">
        <f>+J28/H28</f>
        <v>8.3337860935596628E-3</v>
      </c>
      <c r="L28" s="775">
        <v>87019.315000000002</v>
      </c>
      <c r="M28" s="773">
        <f t="shared" si="8"/>
        <v>1</v>
      </c>
      <c r="N28" s="824">
        <v>710.41</v>
      </c>
      <c r="O28" s="774">
        <f>+N28/L28</f>
        <v>8.1638197220927321E-3</v>
      </c>
      <c r="P28" s="1060">
        <f>SUM(P7:P27)</f>
        <v>84110.024999999994</v>
      </c>
      <c r="Q28" s="1061">
        <f t="shared" si="9"/>
        <v>1</v>
      </c>
      <c r="R28" s="1062">
        <v>515.28</v>
      </c>
      <c r="S28" s="1063">
        <f>+R28/P28</f>
        <v>6.1262614058193417E-3</v>
      </c>
      <c r="T28" s="1260">
        <f>SUM(T7:T27)</f>
        <v>85601.903000000006</v>
      </c>
      <c r="U28" s="1261">
        <f t="shared" si="12"/>
        <v>1</v>
      </c>
      <c r="V28" s="1262">
        <f>SUM(V7:V27)</f>
        <v>548.37699999999984</v>
      </c>
      <c r="W28" s="1263">
        <f>+V28/T28</f>
        <v>6.4061309478131555E-3</v>
      </c>
      <c r="X28" s="966">
        <f>SUM(X7:X27)</f>
        <v>85741.069103584014</v>
      </c>
      <c r="Y28" s="969">
        <f t="shared" si="11"/>
        <v>1</v>
      </c>
      <c r="Z28" s="973">
        <f>SUM(Z7:Z27)</f>
        <v>527.47</v>
      </c>
      <c r="AA28" s="976">
        <f>+Z28/X28</f>
        <v>6.1518943665463529E-3</v>
      </c>
      <c r="AB28" s="331" t="e">
        <f>+#REF!/#REF!</f>
        <v>#REF!</v>
      </c>
      <c r="AD28" s="332"/>
      <c r="AE28" s="332"/>
      <c r="AF28" s="332"/>
      <c r="AG28" s="332"/>
    </row>
    <row r="29" spans="1:33" ht="15" customHeight="1">
      <c r="A29" s="173"/>
      <c r="B29" s="108"/>
      <c r="C29" s="299"/>
      <c r="Y29" s="970"/>
      <c r="AB29" s="289"/>
    </row>
    <row r="30" spans="1:33">
      <c r="A30" s="173"/>
      <c r="B30" s="108"/>
      <c r="C30" s="502" t="s">
        <v>379</v>
      </c>
      <c r="AB30" s="289"/>
    </row>
    <row r="31" spans="1:33">
      <c r="A31" s="173"/>
      <c r="B31" s="108"/>
      <c r="C31" s="502" t="s">
        <v>380</v>
      </c>
      <c r="AB31" s="289"/>
    </row>
    <row r="32" spans="1:33">
      <c r="A32" s="108"/>
      <c r="B32" s="108"/>
      <c r="C32" s="286"/>
      <c r="AB32" s="289"/>
    </row>
    <row r="33" spans="1:28">
      <c r="A33" s="108"/>
      <c r="B33" s="108"/>
      <c r="C33" s="286"/>
      <c r="AB33" s="290"/>
    </row>
    <row r="34" spans="1:28">
      <c r="C34" s="288"/>
      <c r="AB34" s="289"/>
    </row>
    <row r="35" spans="1:28">
      <c r="C35" s="288"/>
      <c r="AB35" s="287"/>
    </row>
  </sheetData>
  <mergeCells count="7">
    <mergeCell ref="C1:AB1"/>
    <mergeCell ref="X5:AA5"/>
    <mergeCell ref="T5:W5"/>
    <mergeCell ref="D5:G5"/>
    <mergeCell ref="H5:K5"/>
    <mergeCell ref="L5:O5"/>
    <mergeCell ref="P5:S5"/>
  </mergeCells>
  <phoneticPr fontId="3" type="noConversion"/>
  <pageMargins left="0" right="0" top="0.47244094488188981" bottom="0" header="0" footer="0"/>
  <pageSetup paperSize="9" scale="79" orientation="landscape" useFirstPageNumber="1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zoomScale="80" zoomScaleNormal="90" zoomScaleSheetLayoutView="80" workbookViewId="0">
      <selection activeCell="C30" sqref="C30:C33"/>
    </sheetView>
  </sheetViews>
  <sheetFormatPr defaultRowHeight="11.25"/>
  <cols>
    <col min="1" max="1" width="17" style="121" customWidth="1"/>
    <col min="2" max="2" width="3.7109375" style="121" customWidth="1"/>
    <col min="3" max="3" width="19.140625" style="121" customWidth="1"/>
    <col min="4" max="4" width="12.5703125" style="121" customWidth="1"/>
    <col min="5" max="22" width="9.7109375" style="121" customWidth="1"/>
    <col min="23" max="23" width="1.85546875" style="121" customWidth="1"/>
    <col min="24" max="16384" width="9.140625" style="121"/>
  </cols>
  <sheetData>
    <row r="1" spans="1:60" s="118" customFormat="1" ht="33" customHeight="1">
      <c r="A1" s="812"/>
      <c r="B1" s="137"/>
      <c r="C1" s="1405" t="s">
        <v>465</v>
      </c>
      <c r="D1" s="1405"/>
      <c r="E1" s="1405"/>
      <c r="F1" s="1405"/>
      <c r="G1" s="1405"/>
      <c r="H1" s="1405"/>
      <c r="I1" s="1405"/>
      <c r="J1" s="1405"/>
      <c r="K1" s="1405"/>
      <c r="L1" s="1405"/>
      <c r="M1" s="1405"/>
      <c r="N1" s="1405"/>
      <c r="O1" s="1405"/>
      <c r="P1" s="1405"/>
      <c r="Q1" s="1405"/>
      <c r="R1" s="1405"/>
      <c r="S1" s="1405"/>
      <c r="T1" s="1405"/>
      <c r="U1" s="1405"/>
      <c r="V1" s="1405"/>
      <c r="W1" s="1405"/>
      <c r="X1" s="1405"/>
      <c r="Y1" s="1405"/>
      <c r="Z1" s="1405"/>
      <c r="AA1" s="1405"/>
      <c r="AB1" s="1405"/>
      <c r="AC1" s="1405"/>
      <c r="AD1" s="1405"/>
      <c r="AE1" s="1405"/>
      <c r="AF1" s="1405"/>
      <c r="AG1" s="1405"/>
      <c r="AH1" s="1405"/>
      <c r="AI1" s="1405"/>
      <c r="AJ1" s="1405"/>
      <c r="AK1" s="1405"/>
      <c r="AL1" s="1405"/>
      <c r="AM1" s="1405"/>
      <c r="AN1" s="1405"/>
      <c r="AO1" s="1405"/>
      <c r="AP1" s="1405"/>
      <c r="AQ1" s="1405"/>
      <c r="AR1" s="1405"/>
      <c r="AS1" s="1405"/>
      <c r="AT1" s="1405"/>
      <c r="AU1" s="1405"/>
      <c r="AV1" s="1405"/>
      <c r="AW1" s="1405"/>
      <c r="AX1" s="1405"/>
      <c r="AY1" s="1405"/>
      <c r="AZ1" s="1405"/>
      <c r="BA1" s="1405"/>
      <c r="BB1" s="1405"/>
      <c r="BC1" s="1405"/>
      <c r="BD1" s="1405"/>
      <c r="BE1" s="1405"/>
      <c r="BF1" s="1405"/>
      <c r="BG1" s="1405"/>
      <c r="BH1" s="1405"/>
    </row>
    <row r="2" spans="1:60" s="118" customFormat="1" ht="12" customHeight="1">
      <c r="A2" s="138"/>
      <c r="C2" s="139"/>
      <c r="F2" s="799"/>
      <c r="I2" s="799"/>
      <c r="L2" s="799"/>
      <c r="O2" s="799"/>
      <c r="R2" s="799"/>
      <c r="U2" s="799"/>
    </row>
    <row r="3" spans="1:60" ht="6.75" customHeight="1">
      <c r="A3" s="215"/>
      <c r="C3" s="135"/>
      <c r="D3" s="135"/>
    </row>
    <row r="4" spans="1:60" s="335" customFormat="1" ht="19.5" customHeight="1">
      <c r="A4" s="334"/>
      <c r="C4" s="156"/>
      <c r="D4" s="144"/>
      <c r="E4" s="1442" t="s">
        <v>471</v>
      </c>
      <c r="F4" s="1421"/>
      <c r="G4" s="1443"/>
      <c r="H4" s="1442" t="s">
        <v>486</v>
      </c>
      <c r="I4" s="1421"/>
      <c r="J4" s="1443"/>
      <c r="K4" s="1442" t="s">
        <v>490</v>
      </c>
      <c r="L4" s="1421"/>
      <c r="M4" s="1443"/>
      <c r="N4" s="1442" t="s">
        <v>492</v>
      </c>
      <c r="O4" s="1421"/>
      <c r="P4" s="1443"/>
      <c r="Q4" s="1442" t="s">
        <v>498</v>
      </c>
      <c r="R4" s="1421"/>
      <c r="S4" s="1421"/>
      <c r="T4" s="1442" t="s">
        <v>502</v>
      </c>
      <c r="U4" s="1421"/>
      <c r="V4" s="1421"/>
    </row>
    <row r="5" spans="1:60" s="335" customFormat="1" ht="19.5" customHeight="1" thickBot="1">
      <c r="A5" s="334"/>
      <c r="C5" s="156"/>
      <c r="D5" s="503" t="s">
        <v>227</v>
      </c>
      <c r="E5" s="723" t="s">
        <v>6</v>
      </c>
      <c r="F5" s="724" t="s">
        <v>239</v>
      </c>
      <c r="G5" s="724" t="s">
        <v>7</v>
      </c>
      <c r="H5" s="723" t="s">
        <v>6</v>
      </c>
      <c r="I5" s="724" t="s">
        <v>239</v>
      </c>
      <c r="J5" s="724" t="s">
        <v>7</v>
      </c>
      <c r="K5" s="723" t="s">
        <v>6</v>
      </c>
      <c r="L5" s="724" t="s">
        <v>239</v>
      </c>
      <c r="M5" s="724" t="s">
        <v>7</v>
      </c>
      <c r="N5" s="723" t="s">
        <v>6</v>
      </c>
      <c r="O5" s="724" t="s">
        <v>239</v>
      </c>
      <c r="P5" s="724" t="s">
        <v>7</v>
      </c>
      <c r="Q5" s="723" t="s">
        <v>6</v>
      </c>
      <c r="R5" s="724" t="s">
        <v>239</v>
      </c>
      <c r="S5" s="724" t="s">
        <v>7</v>
      </c>
      <c r="T5" s="723" t="s">
        <v>6</v>
      </c>
      <c r="U5" s="724" t="s">
        <v>239</v>
      </c>
      <c r="V5" s="724" t="s">
        <v>240</v>
      </c>
    </row>
    <row r="6" spans="1:60" s="335" customFormat="1" ht="21" customHeight="1">
      <c r="A6" s="334"/>
      <c r="C6" s="1450" t="s">
        <v>232</v>
      </c>
      <c r="D6" s="725" t="s">
        <v>228</v>
      </c>
      <c r="E6" s="777">
        <f>+G6-F6</f>
        <v>14849.925000000001</v>
      </c>
      <c r="F6" s="778">
        <v>3730.0439999999999</v>
      </c>
      <c r="G6" s="779">
        <v>18579.969000000001</v>
      </c>
      <c r="H6" s="777">
        <f>+J6-I6</f>
        <v>14962.237000000001</v>
      </c>
      <c r="I6" s="778">
        <v>3716.4679999999998</v>
      </c>
      <c r="J6" s="779">
        <v>18678.705000000002</v>
      </c>
      <c r="K6" s="777">
        <f>+M6-L6</f>
        <v>14948.216000000002</v>
      </c>
      <c r="L6" s="778">
        <v>3673.1489999999999</v>
      </c>
      <c r="M6" s="779">
        <v>18621.365000000002</v>
      </c>
      <c r="N6" s="1064">
        <f>+P6-O6</f>
        <v>14502.174000000001</v>
      </c>
      <c r="O6" s="1065">
        <v>3724.3870000000002</v>
      </c>
      <c r="P6" s="1066">
        <v>18226.561000000002</v>
      </c>
      <c r="Q6" s="1264">
        <f>+S6-R6</f>
        <v>14967.094999999999</v>
      </c>
      <c r="R6" s="1265">
        <v>3807.83</v>
      </c>
      <c r="S6" s="1266">
        <v>18774.924999999999</v>
      </c>
      <c r="T6" s="977">
        <f>+V6-U6</f>
        <v>14820.554009785999</v>
      </c>
      <c r="U6" s="1134">
        <v>3867.4850000000001</v>
      </c>
      <c r="V6" s="1135">
        <v>18688.039009786</v>
      </c>
      <c r="W6" s="1136"/>
      <c r="X6" s="336"/>
    </row>
    <row r="7" spans="1:60" s="335" customFormat="1" ht="21" customHeight="1">
      <c r="A7" s="334"/>
      <c r="C7" s="1445"/>
      <c r="D7" s="725" t="s">
        <v>229</v>
      </c>
      <c r="E7" s="780">
        <f>+E6/G30</f>
        <v>0.22572537443430621</v>
      </c>
      <c r="F7" s="781">
        <f>+F6/G30</f>
        <v>5.6698305113085566E-2</v>
      </c>
      <c r="G7" s="781">
        <f>+G6/G30</f>
        <v>0.28242367954739178</v>
      </c>
      <c r="H7" s="780">
        <f>+H6/J30</f>
        <v>0.22666501197668229</v>
      </c>
      <c r="I7" s="781">
        <f>+I6/J30</f>
        <v>5.6301291292936768E-2</v>
      </c>
      <c r="J7" s="781">
        <f>+J6/J30</f>
        <v>0.28296630326961908</v>
      </c>
      <c r="K7" s="780">
        <f>+K6/M30</f>
        <v>0.22427974728232783</v>
      </c>
      <c r="L7" s="781">
        <f>+L6/M30</f>
        <v>5.5111120246746172E-2</v>
      </c>
      <c r="M7" s="781">
        <f>+M6/M30</f>
        <v>0.27939086752907399</v>
      </c>
      <c r="N7" s="1067">
        <f>+N6/P30</f>
        <v>0.21849821149863854</v>
      </c>
      <c r="O7" s="1068">
        <f>+O6/P30</f>
        <v>5.6113786693552284E-2</v>
      </c>
      <c r="P7" s="1068">
        <f>+P6/P30</f>
        <v>0.27461199819219084</v>
      </c>
      <c r="Q7" s="1267">
        <f>+Q6/S30</f>
        <v>0.21995925246542891</v>
      </c>
      <c r="R7" s="1268">
        <f>+R6/S30</f>
        <v>5.5960588231412589E-2</v>
      </c>
      <c r="S7" s="1268">
        <f>+S6/S30</f>
        <v>0.2759198406968415</v>
      </c>
      <c r="T7" s="978">
        <f>+T6/V30</f>
        <v>0.21441218640334353</v>
      </c>
      <c r="U7" s="979">
        <f>+U6/V30</f>
        <v>5.5951748779741385E-2</v>
      </c>
      <c r="V7" s="979">
        <f>+V6/V30</f>
        <v>0.27036393518308494</v>
      </c>
      <c r="W7" s="1136"/>
      <c r="X7" s="336"/>
    </row>
    <row r="8" spans="1:60" s="335" customFormat="1" ht="21" customHeight="1">
      <c r="A8" s="334"/>
      <c r="C8" s="1445"/>
      <c r="D8" s="725" t="s">
        <v>230</v>
      </c>
      <c r="E8" s="782">
        <f>+G8-F8</f>
        <v>206.66400000000002</v>
      </c>
      <c r="F8" s="783">
        <v>23.581</v>
      </c>
      <c r="G8" s="784">
        <v>230.245</v>
      </c>
      <c r="H8" s="782">
        <f>+J8-I8</f>
        <v>303.16399999999999</v>
      </c>
      <c r="I8" s="783">
        <v>22.103000000000002</v>
      </c>
      <c r="J8" s="784">
        <v>325.267</v>
      </c>
      <c r="K8" s="782">
        <f>+M8-L8</f>
        <v>243.36700000000002</v>
      </c>
      <c r="L8" s="783">
        <v>17.768999999999998</v>
      </c>
      <c r="M8" s="784">
        <v>261.13600000000002</v>
      </c>
      <c r="N8" s="1069">
        <f>+P8-O8</f>
        <v>215.05900000000003</v>
      </c>
      <c r="O8" s="1070">
        <v>17.329999999999998</v>
      </c>
      <c r="P8" s="1071">
        <v>232.38900000000001</v>
      </c>
      <c r="Q8" s="1269">
        <f>+S8-R8</f>
        <v>248.15899999999999</v>
      </c>
      <c r="R8" s="1270">
        <v>19.053000000000001</v>
      </c>
      <c r="S8" s="1271">
        <v>267.21199999999999</v>
      </c>
      <c r="T8" s="980">
        <f>+V8-U8</f>
        <v>281.16900000000004</v>
      </c>
      <c r="U8" s="981">
        <v>20.114000000000001</v>
      </c>
      <c r="V8" s="1137">
        <v>301.28300000000002</v>
      </c>
      <c r="W8" s="1136"/>
    </row>
    <row r="9" spans="1:60" ht="21" customHeight="1">
      <c r="A9" s="215"/>
      <c r="C9" s="1446"/>
      <c r="D9" s="726" t="s">
        <v>231</v>
      </c>
      <c r="E9" s="785">
        <f t="shared" ref="E9:S9" si="0">E8/E6</f>
        <v>1.39168379638281E-2</v>
      </c>
      <c r="F9" s="786">
        <f t="shared" si="0"/>
        <v>6.3219093394072563E-3</v>
      </c>
      <c r="G9" s="786">
        <f t="shared" si="0"/>
        <v>1.2392108942700604E-2</v>
      </c>
      <c r="H9" s="785">
        <f t="shared" si="0"/>
        <v>2.0261943451370272E-2</v>
      </c>
      <c r="I9" s="786">
        <f t="shared" si="0"/>
        <v>5.9473134169324218E-3</v>
      </c>
      <c r="J9" s="786">
        <f t="shared" si="0"/>
        <v>1.7413787518995562E-2</v>
      </c>
      <c r="K9" s="785">
        <f t="shared" si="0"/>
        <v>1.6280671887534938E-2</v>
      </c>
      <c r="L9" s="786">
        <f t="shared" si="0"/>
        <v>4.8375385806565425E-3</v>
      </c>
      <c r="M9" s="786">
        <f t="shared" si="0"/>
        <v>1.4023461760187827E-2</v>
      </c>
      <c r="N9" s="1072">
        <f t="shared" si="0"/>
        <v>1.4829431780366172E-2</v>
      </c>
      <c r="O9" s="1073">
        <f t="shared" si="0"/>
        <v>4.6531147273363369E-3</v>
      </c>
      <c r="P9" s="1073">
        <f t="shared" si="0"/>
        <v>1.2750019051866119E-2</v>
      </c>
      <c r="Q9" s="1272">
        <f t="shared" si="0"/>
        <v>1.6580304995725624E-2</v>
      </c>
      <c r="R9" s="1273">
        <f t="shared" si="0"/>
        <v>5.0036372422088173E-3</v>
      </c>
      <c r="S9" s="1273">
        <f t="shared" si="0"/>
        <v>1.4232387080108176E-2</v>
      </c>
      <c r="T9" s="984">
        <f t="shared" ref="T9:V9" si="1">T8/T6</f>
        <v>1.8971558000756544E-2</v>
      </c>
      <c r="U9" s="985">
        <f t="shared" si="1"/>
        <v>5.2007958660473148E-3</v>
      </c>
      <c r="V9" s="985">
        <f t="shared" si="1"/>
        <v>1.6121702220454111E-2</v>
      </c>
      <c r="W9" s="1138"/>
    </row>
    <row r="10" spans="1:60" ht="21" customHeight="1">
      <c r="A10" s="215"/>
      <c r="C10" s="1444" t="s">
        <v>233</v>
      </c>
      <c r="D10" s="727" t="s">
        <v>228</v>
      </c>
      <c r="E10" s="787">
        <f>+G10-F10</f>
        <v>2017.211</v>
      </c>
      <c r="F10" s="788">
        <v>543.19299999999998</v>
      </c>
      <c r="G10" s="779">
        <v>2560.404</v>
      </c>
      <c r="H10" s="787">
        <f>+J10-I10</f>
        <v>1884.5740000000001</v>
      </c>
      <c r="I10" s="788">
        <v>516.21</v>
      </c>
      <c r="J10" s="779">
        <v>2400.7840000000001</v>
      </c>
      <c r="K10" s="787">
        <f>+M10-L10</f>
        <v>1860.6769999999999</v>
      </c>
      <c r="L10" s="788">
        <v>475.37599999999998</v>
      </c>
      <c r="M10" s="779">
        <v>2336.0529999999999</v>
      </c>
      <c r="N10" s="1074">
        <f>+P10-O10</f>
        <v>1666.623</v>
      </c>
      <c r="O10" s="1075">
        <v>446.32600000000002</v>
      </c>
      <c r="P10" s="1066">
        <v>2112.9490000000001</v>
      </c>
      <c r="Q10" s="1274">
        <f>+S10-R10</f>
        <v>1736.6840000000002</v>
      </c>
      <c r="R10" s="1275">
        <v>426.26299999999998</v>
      </c>
      <c r="S10" s="1266">
        <v>2162.9470000000001</v>
      </c>
      <c r="T10" s="983">
        <f>+V10-U10</f>
        <v>1679.5259999999998</v>
      </c>
      <c r="U10" s="982">
        <v>425.85300000000001</v>
      </c>
      <c r="V10" s="1135">
        <v>2105.3789999999999</v>
      </c>
      <c r="W10" s="1138"/>
      <c r="X10" s="336"/>
    </row>
    <row r="11" spans="1:60" ht="21" customHeight="1">
      <c r="A11" s="215"/>
      <c r="C11" s="1445"/>
      <c r="D11" s="725" t="s">
        <v>229</v>
      </c>
      <c r="E11" s="780">
        <f>+E10/G30</f>
        <v>3.0662492119522572E-2</v>
      </c>
      <c r="F11" s="781">
        <f>+F10/G30</f>
        <v>8.2567718904367586E-3</v>
      </c>
      <c r="G11" s="781">
        <f>+G10/G30</f>
        <v>3.8919264009959327E-2</v>
      </c>
      <c r="H11" s="780">
        <f>+H10/J30</f>
        <v>2.85496739746165E-2</v>
      </c>
      <c r="I11" s="781">
        <f>+I10/J30</f>
        <v>7.8201371781828587E-3</v>
      </c>
      <c r="J11" s="781">
        <f>+J10/J30</f>
        <v>3.6369811152799358E-2</v>
      </c>
      <c r="K11" s="780">
        <f>+K10/M30</f>
        <v>2.791718873570196E-2</v>
      </c>
      <c r="L11" s="781">
        <f>+L10/M30</f>
        <v>7.1324370175065606E-3</v>
      </c>
      <c r="M11" s="781">
        <f>+M10/M30</f>
        <v>3.5049625753208524E-2</v>
      </c>
      <c r="N11" s="1067">
        <f>+N10/P30</f>
        <v>2.5110314132384251E-2</v>
      </c>
      <c r="O11" s="1068">
        <f>+O10/P30</f>
        <v>6.7246078239953091E-3</v>
      </c>
      <c r="P11" s="1068">
        <f>+P10/P30</f>
        <v>3.1834921956379561E-2</v>
      </c>
      <c r="Q11" s="1267">
        <f>+Q10/S30</f>
        <v>2.5522635782606513E-2</v>
      </c>
      <c r="R11" s="1268">
        <f>+R10/S30</f>
        <v>6.2644414853831772E-3</v>
      </c>
      <c r="S11" s="1268">
        <f>+S10/S30</f>
        <v>3.178707726798969E-2</v>
      </c>
      <c r="T11" s="978">
        <f>+T10/V30</f>
        <v>2.4298068853801352E-2</v>
      </c>
      <c r="U11" s="979">
        <f>+U10/V30</f>
        <v>6.1609082060044727E-3</v>
      </c>
      <c r="V11" s="979">
        <f>+V10/V30</f>
        <v>3.0458977059805825E-2</v>
      </c>
      <c r="W11" s="1138"/>
      <c r="X11" s="336"/>
    </row>
    <row r="12" spans="1:60" ht="21" customHeight="1">
      <c r="A12" s="215"/>
      <c r="C12" s="1445"/>
      <c r="D12" s="725" t="s">
        <v>230</v>
      </c>
      <c r="E12" s="782">
        <f>+G12-F12</f>
        <v>27.997999999999998</v>
      </c>
      <c r="F12" s="783">
        <v>1.484</v>
      </c>
      <c r="G12" s="784">
        <v>29.481999999999999</v>
      </c>
      <c r="H12" s="782">
        <f>+J12-I12</f>
        <v>32.153000000000006</v>
      </c>
      <c r="I12" s="783">
        <v>1.4339999999999999</v>
      </c>
      <c r="J12" s="784">
        <v>33.587000000000003</v>
      </c>
      <c r="K12" s="782">
        <f>+M12-L12</f>
        <v>30.531000000000002</v>
      </c>
      <c r="L12" s="783">
        <v>1.345</v>
      </c>
      <c r="M12" s="784">
        <v>31.876000000000001</v>
      </c>
      <c r="N12" s="1069">
        <f>+P12-O12</f>
        <v>22.183</v>
      </c>
      <c r="O12" s="1070">
        <v>1.08</v>
      </c>
      <c r="P12" s="1071">
        <v>23.263000000000002</v>
      </c>
      <c r="Q12" s="1269">
        <f>+S12-R12</f>
        <v>25.905999999999999</v>
      </c>
      <c r="R12" s="1270">
        <v>1.262</v>
      </c>
      <c r="S12" s="1271">
        <v>27.167999999999999</v>
      </c>
      <c r="T12" s="980">
        <f>+V12-U12</f>
        <v>22.924999999999997</v>
      </c>
      <c r="U12" s="981">
        <v>1.7509999999999999</v>
      </c>
      <c r="V12" s="1137">
        <v>24.675999999999998</v>
      </c>
      <c r="W12" s="1138"/>
    </row>
    <row r="13" spans="1:60" ht="21" customHeight="1">
      <c r="A13" s="215"/>
      <c r="C13" s="1446"/>
      <c r="D13" s="726" t="s">
        <v>231</v>
      </c>
      <c r="E13" s="785">
        <f t="shared" ref="E13:S13" si="2">E12/E10</f>
        <v>1.3879559451143187E-2</v>
      </c>
      <c r="F13" s="786">
        <f t="shared" si="2"/>
        <v>2.7319939689944457E-3</v>
      </c>
      <c r="G13" s="786">
        <f t="shared" si="2"/>
        <v>1.151458910390704E-2</v>
      </c>
      <c r="H13" s="785">
        <f t="shared" si="2"/>
        <v>1.7061150159134109E-2</v>
      </c>
      <c r="I13" s="786">
        <f t="shared" si="2"/>
        <v>2.7779392107863078E-3</v>
      </c>
      <c r="J13" s="786">
        <f t="shared" si="2"/>
        <v>1.3990013262334304E-2</v>
      </c>
      <c r="K13" s="785">
        <f t="shared" si="2"/>
        <v>1.6408543771971172E-2</v>
      </c>
      <c r="L13" s="786">
        <f t="shared" si="2"/>
        <v>2.8293393019420418E-3</v>
      </c>
      <c r="M13" s="786">
        <f t="shared" si="2"/>
        <v>1.3645238357177686E-2</v>
      </c>
      <c r="N13" s="1072">
        <f t="shared" si="2"/>
        <v>1.3310148725896618E-2</v>
      </c>
      <c r="O13" s="1073">
        <f t="shared" si="2"/>
        <v>2.4197559631300887E-3</v>
      </c>
      <c r="P13" s="1073">
        <f t="shared" si="2"/>
        <v>1.1009730949492865E-2</v>
      </c>
      <c r="Q13" s="1272">
        <f t="shared" si="2"/>
        <v>1.4916933650566249E-2</v>
      </c>
      <c r="R13" s="1273">
        <f t="shared" si="2"/>
        <v>2.9606135179454937E-3</v>
      </c>
      <c r="S13" s="1273">
        <f t="shared" si="2"/>
        <v>1.256064064445407E-2</v>
      </c>
      <c r="T13" s="984">
        <f t="shared" ref="T13:V13" si="3">T12/T10</f>
        <v>1.3649684494315658E-2</v>
      </c>
      <c r="U13" s="985">
        <f t="shared" si="3"/>
        <v>4.1117474809382578E-3</v>
      </c>
      <c r="V13" s="985">
        <f t="shared" si="3"/>
        <v>1.1720455081959114E-2</v>
      </c>
      <c r="W13" s="1138"/>
    </row>
    <row r="14" spans="1:60" ht="21" customHeight="1">
      <c r="A14" s="215"/>
      <c r="C14" s="1444" t="s">
        <v>234</v>
      </c>
      <c r="D14" s="727" t="s">
        <v>228</v>
      </c>
      <c r="E14" s="787">
        <f>+G14-F14</f>
        <v>6085.612000000001</v>
      </c>
      <c r="F14" s="788">
        <v>4396.74</v>
      </c>
      <c r="G14" s="779">
        <v>10482.352000000001</v>
      </c>
      <c r="H14" s="787">
        <f>+J14-I14</f>
        <v>6176.4619999999995</v>
      </c>
      <c r="I14" s="788">
        <v>4449.3940000000002</v>
      </c>
      <c r="J14" s="779">
        <v>10625.856</v>
      </c>
      <c r="K14" s="787">
        <f>+M14-L14</f>
        <v>6084.5729999999994</v>
      </c>
      <c r="L14" s="788">
        <v>4503.8900000000003</v>
      </c>
      <c r="M14" s="779">
        <v>10588.463</v>
      </c>
      <c r="N14" s="1074">
        <f>+P14-O14</f>
        <v>5918.2649999999994</v>
      </c>
      <c r="O14" s="1075">
        <v>4549.991</v>
      </c>
      <c r="P14" s="1066">
        <v>10468.255999999999</v>
      </c>
      <c r="Q14" s="1274">
        <f>+S14-R14</f>
        <v>6079.3670000000002</v>
      </c>
      <c r="R14" s="1275">
        <v>4668.723</v>
      </c>
      <c r="S14" s="1266">
        <v>10748.09</v>
      </c>
      <c r="T14" s="983">
        <f>+V14-U14</f>
        <v>5962.1841260620004</v>
      </c>
      <c r="U14" s="982">
        <v>4695.2950000000001</v>
      </c>
      <c r="V14" s="1135">
        <v>10657.479126062</v>
      </c>
      <c r="W14" s="1138"/>
      <c r="X14" s="336"/>
    </row>
    <row r="15" spans="1:60" ht="21" customHeight="1">
      <c r="A15" s="215"/>
      <c r="C15" s="1445"/>
      <c r="D15" s="725" t="s">
        <v>229</v>
      </c>
      <c r="E15" s="789">
        <f>+E14/G30</f>
        <v>9.2503972064633802E-2</v>
      </c>
      <c r="F15" s="790">
        <f>+F14/G30</f>
        <v>6.683237678239394E-2</v>
      </c>
      <c r="G15" s="790">
        <f>+G14/G30</f>
        <v>0.15933634884702774</v>
      </c>
      <c r="H15" s="789">
        <f>+H14/J30</f>
        <v>9.3568082981409992E-2</v>
      </c>
      <c r="I15" s="790">
        <f>+I14/J30</f>
        <v>6.7404489335316523E-2</v>
      </c>
      <c r="J15" s="790">
        <f>+J14/J30</f>
        <v>0.16097257231672651</v>
      </c>
      <c r="K15" s="789">
        <f>+K14/M30</f>
        <v>9.1291595917591437E-2</v>
      </c>
      <c r="L15" s="790">
        <f>+L14/M30</f>
        <v>6.7575375615886432E-2</v>
      </c>
      <c r="M15" s="790">
        <f>+M14/M30</f>
        <v>0.15886697153347787</v>
      </c>
      <c r="N15" s="1076">
        <f>+N14/P30</f>
        <v>8.9168032163659733E-2</v>
      </c>
      <c r="O15" s="1077">
        <f>+O14/P30</f>
        <v>6.855281806954612E-2</v>
      </c>
      <c r="P15" s="1077">
        <f>+P14/P30</f>
        <v>0.15772085023320584</v>
      </c>
      <c r="Q15" s="1276">
        <f>+Q14/S30</f>
        <v>8.9343524630731433E-2</v>
      </c>
      <c r="R15" s="1277">
        <f>+R14/S30</f>
        <v>6.8612434213062373E-2</v>
      </c>
      <c r="S15" s="1277">
        <f>+S14/S30</f>
        <v>0.15795595884379382</v>
      </c>
      <c r="T15" s="986">
        <f>+T14/V30</f>
        <v>8.6256217774595897E-2</v>
      </c>
      <c r="U15" s="987">
        <f>+U14/V30</f>
        <v>6.7927856549353349E-2</v>
      </c>
      <c r="V15" s="987">
        <f>+V14/V30</f>
        <v>0.15418407432394923</v>
      </c>
      <c r="W15" s="1138"/>
      <c r="X15" s="336"/>
    </row>
    <row r="16" spans="1:60" ht="21" customHeight="1">
      <c r="A16" s="215"/>
      <c r="C16" s="1445"/>
      <c r="D16" s="725" t="s">
        <v>230</v>
      </c>
      <c r="E16" s="782">
        <f>+G16-F16</f>
        <v>65.004999999999995</v>
      </c>
      <c r="F16" s="783">
        <v>29.997</v>
      </c>
      <c r="G16" s="784">
        <v>95.001999999999995</v>
      </c>
      <c r="H16" s="782">
        <f>+J16-I16</f>
        <v>65.221000000000004</v>
      </c>
      <c r="I16" s="783">
        <v>29.113</v>
      </c>
      <c r="J16" s="784">
        <v>94.334000000000003</v>
      </c>
      <c r="K16" s="782">
        <f>+M16-L16</f>
        <v>56.280999999999999</v>
      </c>
      <c r="L16" s="783">
        <v>24.972000000000001</v>
      </c>
      <c r="M16" s="784">
        <v>81.253</v>
      </c>
      <c r="N16" s="1069">
        <f>+P16-O16</f>
        <v>38.905999999999999</v>
      </c>
      <c r="O16" s="1070">
        <v>24.994</v>
      </c>
      <c r="P16" s="1071">
        <v>63.9</v>
      </c>
      <c r="Q16" s="1269">
        <f>+S16-R16</f>
        <v>40.712999999999994</v>
      </c>
      <c r="R16" s="1270">
        <v>18.41</v>
      </c>
      <c r="S16" s="1271">
        <v>59.122999999999998</v>
      </c>
      <c r="T16" s="980">
        <f>+V16-U16</f>
        <v>41.430999999999997</v>
      </c>
      <c r="U16" s="981">
        <v>20.771000000000001</v>
      </c>
      <c r="V16" s="1137">
        <v>62.201999999999998</v>
      </c>
      <c r="W16" s="1138"/>
      <c r="X16" s="337"/>
    </row>
    <row r="17" spans="1:25" ht="21" customHeight="1">
      <c r="A17" s="215"/>
      <c r="C17" s="1446"/>
      <c r="D17" s="726" t="s">
        <v>231</v>
      </c>
      <c r="E17" s="785">
        <f t="shared" ref="E17:S17" si="4">E16/E14</f>
        <v>1.0681752303630264E-2</v>
      </c>
      <c r="F17" s="786">
        <f t="shared" si="4"/>
        <v>6.8225548929434082E-3</v>
      </c>
      <c r="G17" s="786">
        <f t="shared" si="4"/>
        <v>9.0630423401160346E-3</v>
      </c>
      <c r="H17" s="785">
        <f t="shared" si="4"/>
        <v>1.0559605159070033E-2</v>
      </c>
      <c r="I17" s="786">
        <f t="shared" si="4"/>
        <v>6.5431382341055878E-3</v>
      </c>
      <c r="J17" s="786">
        <f t="shared" si="4"/>
        <v>8.8777788820025415E-3</v>
      </c>
      <c r="K17" s="785">
        <f t="shared" si="4"/>
        <v>9.2497863038211569E-3</v>
      </c>
      <c r="L17" s="786">
        <f t="shared" si="4"/>
        <v>5.5445403861994853E-3</v>
      </c>
      <c r="M17" s="786">
        <f t="shared" si="4"/>
        <v>7.6737294166301573E-3</v>
      </c>
      <c r="N17" s="1072">
        <f t="shared" si="4"/>
        <v>6.5738860966854306E-3</v>
      </c>
      <c r="O17" s="1073">
        <f t="shared" si="4"/>
        <v>5.4931976788525514E-3</v>
      </c>
      <c r="P17" s="1073">
        <f t="shared" si="4"/>
        <v>6.1041686408891795E-3</v>
      </c>
      <c r="Q17" s="1272">
        <f t="shared" si="4"/>
        <v>6.6969143333508226E-3</v>
      </c>
      <c r="R17" s="1273">
        <f t="shared" si="4"/>
        <v>3.9432624295765674E-3</v>
      </c>
      <c r="S17" s="1273">
        <f t="shared" si="4"/>
        <v>5.5007913033850659E-3</v>
      </c>
      <c r="T17" s="984">
        <f t="shared" ref="T17:V17" si="5">T16/T14</f>
        <v>6.9489635214209687E-3</v>
      </c>
      <c r="U17" s="985">
        <f t="shared" si="5"/>
        <v>4.4237901984859312E-3</v>
      </c>
      <c r="V17" s="985">
        <f t="shared" si="5"/>
        <v>5.8364646333568743E-3</v>
      </c>
      <c r="W17" s="1138"/>
    </row>
    <row r="18" spans="1:25" ht="21" customHeight="1">
      <c r="A18" s="215"/>
      <c r="C18" s="1444" t="s">
        <v>235</v>
      </c>
      <c r="D18" s="727" t="s">
        <v>228</v>
      </c>
      <c r="E18" s="787">
        <f>+G18-F18</f>
        <v>850.02699999999959</v>
      </c>
      <c r="F18" s="788">
        <v>2275.7310000000002</v>
      </c>
      <c r="G18" s="779">
        <v>3125.7579999999998</v>
      </c>
      <c r="H18" s="787">
        <f>+J18-I18</f>
        <v>765.91799999999967</v>
      </c>
      <c r="I18" s="788">
        <v>2321.5990000000002</v>
      </c>
      <c r="J18" s="779">
        <v>3087.5169999999998</v>
      </c>
      <c r="K18" s="787">
        <f>+M18-L18</f>
        <v>773.96199999999999</v>
      </c>
      <c r="L18" s="788">
        <v>2377.6999999999998</v>
      </c>
      <c r="M18" s="779">
        <v>3151.6619999999998</v>
      </c>
      <c r="N18" s="1074">
        <f>+P18-O18</f>
        <v>773.11300000000028</v>
      </c>
      <c r="O18" s="1075">
        <v>2426.8629999999998</v>
      </c>
      <c r="P18" s="1066">
        <v>3199.9760000000001</v>
      </c>
      <c r="Q18" s="1274">
        <f>+S18-R18</f>
        <v>771.84699999999975</v>
      </c>
      <c r="R18" s="1275">
        <v>2485.873</v>
      </c>
      <c r="S18" s="1266">
        <v>3257.72</v>
      </c>
      <c r="T18" s="983">
        <f>+V18-U18</f>
        <v>835.75799999999981</v>
      </c>
      <c r="U18" s="982">
        <v>2498.1880000000001</v>
      </c>
      <c r="V18" s="1135">
        <v>3333.9459999999999</v>
      </c>
      <c r="W18" s="1138"/>
      <c r="X18" s="336"/>
    </row>
    <row r="19" spans="1:25" ht="21" customHeight="1">
      <c r="A19" s="215"/>
      <c r="C19" s="1445"/>
      <c r="D19" s="725" t="s">
        <v>229</v>
      </c>
      <c r="E19" s="789">
        <f>+E18/G30</f>
        <v>1.2920783293805853E-2</v>
      </c>
      <c r="F19" s="790">
        <f>+F18/G30</f>
        <v>3.4592109528280991E-2</v>
      </c>
      <c r="G19" s="790">
        <f>+G18/G30</f>
        <v>4.7512892822086844E-2</v>
      </c>
      <c r="H19" s="789">
        <f>+H18/J30</f>
        <v>1.1602998444895403E-2</v>
      </c>
      <c r="I19" s="790">
        <f>+I18/J30</f>
        <v>3.5170226560376876E-2</v>
      </c>
      <c r="J19" s="790">
        <f>+J18/J30</f>
        <v>4.6773225005272277E-2</v>
      </c>
      <c r="K19" s="789">
        <f>+K18/M30</f>
        <v>1.1612355733026937E-2</v>
      </c>
      <c r="L19" s="790">
        <f>+L18/M30</f>
        <v>3.5674488187298792E-2</v>
      </c>
      <c r="M19" s="790">
        <f>+M18/M30</f>
        <v>4.7286843920325727E-2</v>
      </c>
      <c r="N19" s="1076">
        <f>+N18/P30</f>
        <v>1.1648171355987523E-2</v>
      </c>
      <c r="O19" s="1077">
        <f>+O18/P30</f>
        <v>3.6564533362530363E-2</v>
      </c>
      <c r="P19" s="1077">
        <f>+P18/P30</f>
        <v>4.8212704718517886E-2</v>
      </c>
      <c r="Q19" s="1276">
        <f>+Q18/S30</f>
        <v>1.1343209162344721E-2</v>
      </c>
      <c r="R19" s="1277">
        <f>+R18/S30</f>
        <v>3.6532858701303975E-2</v>
      </c>
      <c r="S19" s="1277">
        <f>+S18/S30</f>
        <v>4.7876067863648696E-2</v>
      </c>
      <c r="T19" s="986">
        <f>+T18/V30</f>
        <v>1.2091093218631511E-2</v>
      </c>
      <c r="U19" s="987">
        <f>+U18/V30</f>
        <v>3.6141830512740086E-2</v>
      </c>
      <c r="V19" s="987">
        <f>+V18/V30</f>
        <v>4.8232923731371592E-2</v>
      </c>
      <c r="W19" s="1138"/>
      <c r="X19" s="336"/>
    </row>
    <row r="20" spans="1:25" ht="21" customHeight="1">
      <c r="A20" s="215"/>
      <c r="C20" s="1445"/>
      <c r="D20" s="725" t="s">
        <v>230</v>
      </c>
      <c r="E20" s="782">
        <f>+G20-F20</f>
        <v>47.57</v>
      </c>
      <c r="F20" s="783">
        <v>12.366</v>
      </c>
      <c r="G20" s="784">
        <v>59.936</v>
      </c>
      <c r="H20" s="782">
        <f>+J20-I20</f>
        <v>7.8559999999999999</v>
      </c>
      <c r="I20" s="783">
        <v>12.109</v>
      </c>
      <c r="J20" s="784">
        <v>19.965</v>
      </c>
      <c r="K20" s="782">
        <f>+M20-L20</f>
        <v>6.7120000000000015</v>
      </c>
      <c r="L20" s="783">
        <v>12.968999999999999</v>
      </c>
      <c r="M20" s="784">
        <v>19.681000000000001</v>
      </c>
      <c r="N20" s="1069">
        <f>+P20-O20</f>
        <v>4.9290000000000003</v>
      </c>
      <c r="O20" s="1070">
        <v>12.840999999999999</v>
      </c>
      <c r="P20" s="1071">
        <v>17.77</v>
      </c>
      <c r="Q20" s="1269">
        <f>+S20-R20</f>
        <v>0.96199999999999974</v>
      </c>
      <c r="R20" s="1270">
        <v>7.8680000000000003</v>
      </c>
      <c r="S20" s="1271">
        <v>8.83</v>
      </c>
      <c r="T20" s="980">
        <f>+V20-U20</f>
        <v>0.98499999999999943</v>
      </c>
      <c r="U20" s="981">
        <v>14.092000000000001</v>
      </c>
      <c r="V20" s="1137">
        <v>15.077</v>
      </c>
      <c r="W20" s="1138"/>
    </row>
    <row r="21" spans="1:25" ht="21" customHeight="1">
      <c r="A21" s="215"/>
      <c r="C21" s="1446"/>
      <c r="D21" s="726" t="s">
        <v>231</v>
      </c>
      <c r="E21" s="785">
        <f t="shared" ref="E21:S21" si="6">E20/E18</f>
        <v>5.5962928236397223E-2</v>
      </c>
      <c r="F21" s="786">
        <f t="shared" si="6"/>
        <v>5.4338583953903157E-3</v>
      </c>
      <c r="G21" s="786">
        <f t="shared" si="6"/>
        <v>1.9174868943788996E-2</v>
      </c>
      <c r="H21" s="785">
        <f t="shared" si="6"/>
        <v>1.0256972678537394E-2</v>
      </c>
      <c r="I21" s="786">
        <f t="shared" si="6"/>
        <v>5.2158016952970768E-3</v>
      </c>
      <c r="J21" s="786">
        <f t="shared" si="6"/>
        <v>6.4663611568778409E-3</v>
      </c>
      <c r="K21" s="785">
        <f t="shared" si="6"/>
        <v>8.6722603952132035E-3</v>
      </c>
      <c r="L21" s="786">
        <f t="shared" si="6"/>
        <v>5.4544307524077894E-3</v>
      </c>
      <c r="M21" s="786">
        <f t="shared" si="6"/>
        <v>6.2446417160215793E-3</v>
      </c>
      <c r="N21" s="1072">
        <f t="shared" si="6"/>
        <v>6.3755233710984013E-3</v>
      </c>
      <c r="O21" s="1073">
        <f t="shared" si="6"/>
        <v>5.291192786737447E-3</v>
      </c>
      <c r="P21" s="1073">
        <f t="shared" si="6"/>
        <v>5.5531666487498655E-3</v>
      </c>
      <c r="Q21" s="1272">
        <f t="shared" si="6"/>
        <v>1.2463610015974668E-3</v>
      </c>
      <c r="R21" s="1273">
        <f t="shared" si="6"/>
        <v>3.1650852638087303E-3</v>
      </c>
      <c r="S21" s="1273">
        <f t="shared" si="6"/>
        <v>2.710484633424604E-3</v>
      </c>
      <c r="T21" s="984">
        <f t="shared" ref="T21:V21" si="7">T20/T18</f>
        <v>1.1785708303121234E-3</v>
      </c>
      <c r="U21" s="985">
        <f t="shared" si="7"/>
        <v>5.6408885159963942E-3</v>
      </c>
      <c r="V21" s="985">
        <f t="shared" si="7"/>
        <v>4.5222688069932746E-3</v>
      </c>
      <c r="W21" s="1138"/>
    </row>
    <row r="22" spans="1:25" ht="21" customHeight="1">
      <c r="A22" s="215"/>
      <c r="C22" s="1451" t="s">
        <v>236</v>
      </c>
      <c r="D22" s="727" t="s">
        <v>228</v>
      </c>
      <c r="E22" s="787">
        <f>+G22-F22</f>
        <v>5077.0779999999995</v>
      </c>
      <c r="F22" s="788">
        <v>15497.611999999999</v>
      </c>
      <c r="G22" s="779">
        <v>20574.689999999999</v>
      </c>
      <c r="H22" s="787">
        <f>+J22-I22</f>
        <v>4718.2019999999993</v>
      </c>
      <c r="I22" s="788">
        <v>16106.187</v>
      </c>
      <c r="J22" s="779">
        <v>20824.388999999999</v>
      </c>
      <c r="K22" s="787">
        <f>+M22-L22</f>
        <v>4738.3250000000007</v>
      </c>
      <c r="L22" s="788">
        <v>16771.075000000001</v>
      </c>
      <c r="M22" s="779">
        <v>21509.4</v>
      </c>
      <c r="N22" s="1074">
        <f>+P22-O22</f>
        <v>4854.0869999999995</v>
      </c>
      <c r="O22" s="1075">
        <v>16977.076000000001</v>
      </c>
      <c r="P22" s="1066">
        <v>21831.163</v>
      </c>
      <c r="Q22" s="1274">
        <f>+S22-R22</f>
        <v>4936.9360000000015</v>
      </c>
      <c r="R22" s="1275">
        <v>17440.356</v>
      </c>
      <c r="S22" s="1266">
        <v>22377.292000000001</v>
      </c>
      <c r="T22" s="983">
        <f>+V22-U22</f>
        <v>5076.3649926779981</v>
      </c>
      <c r="U22" s="982">
        <v>18232.95</v>
      </c>
      <c r="V22" s="1135">
        <v>23309.314992677999</v>
      </c>
      <c r="W22" s="1138"/>
      <c r="X22" s="336"/>
    </row>
    <row r="23" spans="1:25" ht="21" customHeight="1">
      <c r="A23" s="215"/>
      <c r="C23" s="1452"/>
      <c r="D23" s="725" t="s">
        <v>229</v>
      </c>
      <c r="E23" s="780">
        <f>+E22/G30</f>
        <v>7.7173812836238448E-2</v>
      </c>
      <c r="F23" s="781">
        <f>+F22/G30</f>
        <v>0.23557050096465784</v>
      </c>
      <c r="G23" s="781">
        <f>+G22/G30</f>
        <v>0.31274431380089629</v>
      </c>
      <c r="H23" s="780">
        <f>+H22/J30</f>
        <v>7.1476699161923854E-2</v>
      </c>
      <c r="I23" s="781">
        <f>+I22/J30</f>
        <v>0.24399486983488394</v>
      </c>
      <c r="J23" s="781">
        <f>+J22/J30</f>
        <v>0.31547156899680778</v>
      </c>
      <c r="K23" s="780">
        <f>+K22/M30</f>
        <v>7.1092786827641238E-2</v>
      </c>
      <c r="L23" s="781">
        <f>+L22/M30</f>
        <v>0.25162952305833458</v>
      </c>
      <c r="M23" s="781">
        <f>+M22/M30</f>
        <v>0.32272230988597583</v>
      </c>
      <c r="N23" s="1067">
        <f>+N22/P30</f>
        <v>7.3134505761604546E-2</v>
      </c>
      <c r="O23" s="1068">
        <f>+O22/P30</f>
        <v>0.25578652845266237</v>
      </c>
      <c r="P23" s="1068">
        <f>+P22/P30</f>
        <v>0.32892103421426694</v>
      </c>
      <c r="Q23" s="1267">
        <f>+Q22/S30</f>
        <v>7.2554143073833982E-2</v>
      </c>
      <c r="R23" s="1268">
        <f>+R22/S30</f>
        <v>0.25630676283480247</v>
      </c>
      <c r="S23" s="1268">
        <f>+S22/S30</f>
        <v>0.32886090590863648</v>
      </c>
      <c r="T23" s="978">
        <f>+T22/V30</f>
        <v>7.3440879223731464E-2</v>
      </c>
      <c r="U23" s="979">
        <f>+U22/V30</f>
        <v>0.26378006324874842</v>
      </c>
      <c r="V23" s="979">
        <f>+V22/V30</f>
        <v>0.33722094247247986</v>
      </c>
      <c r="W23" s="1138"/>
      <c r="X23" s="336"/>
    </row>
    <row r="24" spans="1:25" ht="21" customHeight="1">
      <c r="A24" s="215"/>
      <c r="C24" s="1452"/>
      <c r="D24" s="725" t="s">
        <v>230</v>
      </c>
      <c r="E24" s="782">
        <f>+G24-F24</f>
        <v>332.93400000000003</v>
      </c>
      <c r="F24" s="783">
        <v>31.504999999999999</v>
      </c>
      <c r="G24" s="784">
        <v>364.43900000000002</v>
      </c>
      <c r="H24" s="782">
        <f>+J24-I24</f>
        <v>55.762</v>
      </c>
      <c r="I24" s="783">
        <v>26.31</v>
      </c>
      <c r="J24" s="784">
        <v>82.072000000000003</v>
      </c>
      <c r="K24" s="782">
        <f>+M24-L24</f>
        <v>50.446000000000012</v>
      </c>
      <c r="L24" s="783">
        <v>100.19799999999999</v>
      </c>
      <c r="M24" s="784">
        <v>150.64400000000001</v>
      </c>
      <c r="N24" s="1069">
        <f>+P24-O24</f>
        <v>49.072999999999993</v>
      </c>
      <c r="O24" s="1070">
        <v>23.687999999999999</v>
      </c>
      <c r="P24" s="1071">
        <v>72.760999999999996</v>
      </c>
      <c r="Q24" s="1269">
        <f>+S24-R24</f>
        <v>40.405000000000001</v>
      </c>
      <c r="R24" s="1270">
        <v>30.134</v>
      </c>
      <c r="S24" s="1271">
        <v>70.539000000000001</v>
      </c>
      <c r="T24" s="980">
        <f>+V24-U24</f>
        <v>6.2929999999999993</v>
      </c>
      <c r="U24" s="981">
        <v>27.393000000000001</v>
      </c>
      <c r="V24" s="1137">
        <v>33.686</v>
      </c>
      <c r="W24" s="1138"/>
    </row>
    <row r="25" spans="1:25" ht="21" customHeight="1">
      <c r="A25" s="215"/>
      <c r="C25" s="1453"/>
      <c r="D25" s="726" t="s">
        <v>231</v>
      </c>
      <c r="E25" s="785">
        <f t="shared" ref="E25:S25" si="8">E24/E22</f>
        <v>6.5575908032139751E-2</v>
      </c>
      <c r="F25" s="786">
        <f t="shared" si="8"/>
        <v>2.0328938419673947E-3</v>
      </c>
      <c r="G25" s="786">
        <f t="shared" si="8"/>
        <v>1.7712976477409867E-2</v>
      </c>
      <c r="H25" s="785">
        <f t="shared" si="8"/>
        <v>1.1818485092414443E-2</v>
      </c>
      <c r="I25" s="786">
        <f t="shared" si="8"/>
        <v>1.6335337470004538E-3</v>
      </c>
      <c r="J25" s="786">
        <f t="shared" si="8"/>
        <v>3.9411480452079531E-3</v>
      </c>
      <c r="K25" s="785">
        <f t="shared" si="8"/>
        <v>1.0646378203268034E-2</v>
      </c>
      <c r="L25" s="786">
        <f t="shared" si="8"/>
        <v>5.9744530389375747E-3</v>
      </c>
      <c r="M25" s="786">
        <f t="shared" si="8"/>
        <v>7.0036356197755402E-3</v>
      </c>
      <c r="N25" s="1072">
        <f t="shared" si="8"/>
        <v>1.0109625146809275E-2</v>
      </c>
      <c r="O25" s="1073">
        <f t="shared" si="8"/>
        <v>1.3952932766514092E-3</v>
      </c>
      <c r="P25" s="1073">
        <f t="shared" si="8"/>
        <v>3.3328961906427062E-3</v>
      </c>
      <c r="Q25" s="1272">
        <f t="shared" si="8"/>
        <v>8.1842260057655176E-3</v>
      </c>
      <c r="R25" s="1273">
        <f t="shared" si="8"/>
        <v>1.7278317025179991E-3</v>
      </c>
      <c r="S25" s="1273">
        <f t="shared" si="8"/>
        <v>3.152258101650548E-3</v>
      </c>
      <c r="T25" s="984">
        <f t="shared" ref="T25:V25" si="9">T24/T22</f>
        <v>1.2396665742271961E-3</v>
      </c>
      <c r="U25" s="985">
        <f t="shared" si="9"/>
        <v>1.502389903992497E-3</v>
      </c>
      <c r="V25" s="985">
        <f t="shared" si="9"/>
        <v>1.4451733142128614E-3</v>
      </c>
      <c r="W25" s="1138"/>
    </row>
    <row r="26" spans="1:25" ht="21" customHeight="1">
      <c r="A26" s="215"/>
      <c r="C26" s="1444" t="s">
        <v>237</v>
      </c>
      <c r="D26" s="727" t="s">
        <v>228</v>
      </c>
      <c r="E26" s="787">
        <f t="shared" ref="E26:S26" si="10">E30-SUM(E6,E10,E14,E18,E22)</f>
        <v>6630.8619999999937</v>
      </c>
      <c r="F26" s="788">
        <f t="shared" si="10"/>
        <v>3833.5400000000009</v>
      </c>
      <c r="G26" s="788">
        <f t="shared" si="10"/>
        <v>10464.402000000002</v>
      </c>
      <c r="H26" s="787">
        <f t="shared" si="10"/>
        <v>6509.4989999999962</v>
      </c>
      <c r="I26" s="788">
        <f t="shared" si="10"/>
        <v>3883.6009999999987</v>
      </c>
      <c r="J26" s="788">
        <f t="shared" si="10"/>
        <v>10393.099999999991</v>
      </c>
      <c r="K26" s="787">
        <f t="shared" si="10"/>
        <v>6519.4759999999878</v>
      </c>
      <c r="L26" s="788">
        <f t="shared" si="10"/>
        <v>3923.4509999999973</v>
      </c>
      <c r="M26" s="788">
        <f t="shared" si="10"/>
        <v>10442.926999999996</v>
      </c>
      <c r="N26" s="1074">
        <f t="shared" si="10"/>
        <v>6423.3279999999977</v>
      </c>
      <c r="O26" s="1075">
        <f t="shared" si="10"/>
        <v>4109.8159999999989</v>
      </c>
      <c r="P26" s="1075">
        <f t="shared" si="10"/>
        <v>10533.143999999993</v>
      </c>
      <c r="Q26" s="1274">
        <f t="shared" si="10"/>
        <v>6466.5210000000006</v>
      </c>
      <c r="R26" s="1275">
        <f t="shared" si="10"/>
        <v>4257.3580000000002</v>
      </c>
      <c r="S26" s="1275">
        <f t="shared" si="10"/>
        <v>10723.879000000001</v>
      </c>
      <c r="T26" s="983">
        <f t="shared" ref="T26:V26" si="11">T30-SUM(T6,T10,T14,T18,T22)</f>
        <v>6596.0403480580062</v>
      </c>
      <c r="U26" s="982">
        <f t="shared" si="11"/>
        <v>4431.5910000000003</v>
      </c>
      <c r="V26" s="982">
        <f t="shared" si="11"/>
        <v>11027.631348057999</v>
      </c>
      <c r="W26" s="1138"/>
      <c r="X26" s="336"/>
    </row>
    <row r="27" spans="1:25" ht="21" customHeight="1">
      <c r="A27" s="215"/>
      <c r="C27" s="1445"/>
      <c r="D27" s="725" t="s">
        <v>229</v>
      </c>
      <c r="E27" s="789">
        <f>+E26/G30</f>
        <v>0.1007920112574448</v>
      </c>
      <c r="F27" s="790">
        <f>+F26/G30</f>
        <v>5.8271489715193199E-2</v>
      </c>
      <c r="G27" s="790">
        <f>+G26/G30</f>
        <v>0.15906350097263811</v>
      </c>
      <c r="H27" s="789">
        <f>+H26/J30</f>
        <v>9.8613306873644654E-2</v>
      </c>
      <c r="I27" s="790">
        <f>+I26/J30</f>
        <v>5.8833212385130312E-2</v>
      </c>
      <c r="J27" s="790">
        <f>+J26/J30</f>
        <v>0.15744651925877493</v>
      </c>
      <c r="K27" s="789">
        <f>+K26/M30</f>
        <v>9.7816784938965201E-2</v>
      </c>
      <c r="L27" s="790">
        <f>+L26/M30</f>
        <v>5.8866596438972761E-2</v>
      </c>
      <c r="M27" s="790">
        <f>+M26/M30</f>
        <v>0.15668338137793814</v>
      </c>
      <c r="N27" s="1076">
        <f>+N26/P30</f>
        <v>9.6777605886477866E-2</v>
      </c>
      <c r="O27" s="1077">
        <f>+O26/P30</f>
        <v>6.1920884798961066E-2</v>
      </c>
      <c r="P27" s="1077">
        <f>+P26/P30</f>
        <v>0.15869849068543887</v>
      </c>
      <c r="Q27" s="1276">
        <f>+Q26/S30</f>
        <v>9.5033212872103645E-2</v>
      </c>
      <c r="R27" s="1277">
        <f>+R26/S30</f>
        <v>6.2566936546986154E-2</v>
      </c>
      <c r="S27" s="1277">
        <f>+S26/S30</f>
        <v>0.15760014941908979</v>
      </c>
      <c r="T27" s="986">
        <f>+T26/V30</f>
        <v>9.5426353947223971E-2</v>
      </c>
      <c r="U27" s="987">
        <f>+U26/V30</f>
        <v>6.4112793282084593E-2</v>
      </c>
      <c r="V27" s="987">
        <f>+V26/V30</f>
        <v>0.15953914722930845</v>
      </c>
      <c r="W27" s="1138"/>
      <c r="X27" s="336"/>
      <c r="Y27" s="337"/>
    </row>
    <row r="28" spans="1:25" ht="21" customHeight="1">
      <c r="A28" s="215"/>
      <c r="C28" s="1445"/>
      <c r="D28" s="725" t="s">
        <v>230</v>
      </c>
      <c r="E28" s="782">
        <f t="shared" ref="E28:S28" si="12">E32-SUM(E8,E12,E16,E20,E24)</f>
        <v>176.44599999999991</v>
      </c>
      <c r="F28" s="783">
        <f t="shared" si="12"/>
        <v>16.550000000000011</v>
      </c>
      <c r="G28" s="783">
        <f t="shared" si="12"/>
        <v>192.99599999999998</v>
      </c>
      <c r="H28" s="782">
        <f t="shared" si="12"/>
        <v>83.486000000000047</v>
      </c>
      <c r="I28" s="783">
        <f t="shared" si="12"/>
        <v>14.031999999999996</v>
      </c>
      <c r="J28" s="783">
        <f t="shared" si="12"/>
        <v>97.518000000000143</v>
      </c>
      <c r="K28" s="782">
        <f t="shared" si="12"/>
        <v>77.098999999999933</v>
      </c>
      <c r="L28" s="783">
        <f t="shared" si="12"/>
        <v>14.312000000000012</v>
      </c>
      <c r="M28" s="783">
        <f t="shared" si="12"/>
        <v>91.411000000000058</v>
      </c>
      <c r="N28" s="1069">
        <f t="shared" si="12"/>
        <v>51.959000000000003</v>
      </c>
      <c r="O28" s="1070">
        <f t="shared" si="12"/>
        <v>15.706000000000003</v>
      </c>
      <c r="P28" s="1070">
        <f t="shared" si="12"/>
        <v>67.66500000000002</v>
      </c>
      <c r="Q28" s="1269">
        <f t="shared" si="12"/>
        <v>56.406999999999982</v>
      </c>
      <c r="R28" s="1270">
        <f t="shared" si="12"/>
        <v>11.164000000000001</v>
      </c>
      <c r="S28" s="1270">
        <f t="shared" si="12"/>
        <v>67.571000000000026</v>
      </c>
      <c r="T28" s="980">
        <f t="shared" ref="T28:V28" si="13">T32-SUM(T8,T12,T16,T20,T24)</f>
        <v>44.490999999999929</v>
      </c>
      <c r="U28" s="981">
        <f t="shared" si="13"/>
        <v>11.620999999999995</v>
      </c>
      <c r="V28" s="981">
        <f t="shared" si="13"/>
        <v>56.112000000000023</v>
      </c>
      <c r="W28" s="1138"/>
    </row>
    <row r="29" spans="1:25" ht="21" customHeight="1">
      <c r="A29" s="215"/>
      <c r="C29" s="1446"/>
      <c r="D29" s="726" t="s">
        <v>231</v>
      </c>
      <c r="E29" s="785">
        <f t="shared" ref="E29:S29" si="14">E28/E26</f>
        <v>2.6609813324421482E-2</v>
      </c>
      <c r="F29" s="786">
        <f t="shared" si="14"/>
        <v>4.3171585531910474E-3</v>
      </c>
      <c r="G29" s="786">
        <f t="shared" si="14"/>
        <v>1.8443098802970292E-2</v>
      </c>
      <c r="H29" s="785">
        <f t="shared" si="14"/>
        <v>1.2825257366196706E-2</v>
      </c>
      <c r="I29" s="786">
        <f t="shared" si="14"/>
        <v>3.6131415147951608E-3</v>
      </c>
      <c r="J29" s="786">
        <f t="shared" si="14"/>
        <v>9.3829559996536378E-3</v>
      </c>
      <c r="K29" s="785">
        <f t="shared" si="14"/>
        <v>1.1825950429144931E-2</v>
      </c>
      <c r="L29" s="786">
        <f t="shared" si="14"/>
        <v>3.6478090334249166E-3</v>
      </c>
      <c r="M29" s="786">
        <f t="shared" si="14"/>
        <v>8.7533887769205027E-3</v>
      </c>
      <c r="N29" s="1072">
        <f t="shared" si="14"/>
        <v>8.0891089478849626E-3</v>
      </c>
      <c r="O29" s="1073">
        <f t="shared" si="14"/>
        <v>3.8215822800826138E-3</v>
      </c>
      <c r="P29" s="1073">
        <f t="shared" si="14"/>
        <v>6.4240078745719286E-3</v>
      </c>
      <c r="Q29" s="1272">
        <f t="shared" si="14"/>
        <v>8.7229284494707397E-3</v>
      </c>
      <c r="R29" s="1273">
        <f t="shared" si="14"/>
        <v>2.622283585265792E-3</v>
      </c>
      <c r="S29" s="1273">
        <f t="shared" si="14"/>
        <v>6.300984932784119E-3</v>
      </c>
      <c r="T29" s="984">
        <f t="shared" ref="T29:V29" si="15">T28/T26</f>
        <v>6.745107314739044E-3</v>
      </c>
      <c r="U29" s="985">
        <f t="shared" si="15"/>
        <v>2.6223087825568729E-3</v>
      </c>
      <c r="V29" s="985">
        <f t="shared" si="15"/>
        <v>5.088309377505762E-3</v>
      </c>
      <c r="W29" s="1138"/>
    </row>
    <row r="30" spans="1:25" ht="21" customHeight="1">
      <c r="A30" s="215"/>
      <c r="C30" s="1447" t="s">
        <v>91</v>
      </c>
      <c r="D30" s="728" t="s">
        <v>228</v>
      </c>
      <c r="E30" s="791">
        <f>+G30-F30</f>
        <v>35510.714999999997</v>
      </c>
      <c r="F30" s="792">
        <v>30276.86</v>
      </c>
      <c r="G30" s="792">
        <v>65787.574999999997</v>
      </c>
      <c r="H30" s="791">
        <f>+J30-I30</f>
        <v>35016.891999999993</v>
      </c>
      <c r="I30" s="792">
        <v>30993.458999999999</v>
      </c>
      <c r="J30" s="792">
        <v>66010.350999999995</v>
      </c>
      <c r="K30" s="791">
        <f>+M30-L30</f>
        <v>34925.228999999992</v>
      </c>
      <c r="L30" s="792">
        <v>31724.641</v>
      </c>
      <c r="M30" s="792">
        <v>66649.87</v>
      </c>
      <c r="N30" s="1078">
        <f>+P30-O30</f>
        <v>34137.589999999997</v>
      </c>
      <c r="O30" s="1079">
        <v>32234.458999999999</v>
      </c>
      <c r="P30" s="1079">
        <v>66372.048999999999</v>
      </c>
      <c r="Q30" s="1278">
        <f>+S30-R30</f>
        <v>34958.450000000004</v>
      </c>
      <c r="R30" s="1279">
        <v>33086.402999999998</v>
      </c>
      <c r="S30" s="1279">
        <v>68044.853000000003</v>
      </c>
      <c r="T30" s="988">
        <f>+V30-U30</f>
        <v>34970.427476584002</v>
      </c>
      <c r="U30" s="1139">
        <v>34151.362000000001</v>
      </c>
      <c r="V30" s="1139">
        <f>69120.789476584+1</f>
        <v>69121.789476584003</v>
      </c>
      <c r="W30" s="1138"/>
      <c r="X30" s="336"/>
    </row>
    <row r="31" spans="1:25" ht="21" customHeight="1">
      <c r="A31" s="215"/>
      <c r="C31" s="1448"/>
      <c r="D31" s="725" t="s">
        <v>229</v>
      </c>
      <c r="E31" s="780">
        <f>+E30/G30</f>
        <v>0.53977844600595171</v>
      </c>
      <c r="F31" s="781">
        <f>+F30/G30</f>
        <v>0.46022155399404829</v>
      </c>
      <c r="G31" s="781">
        <f>+G30/G30</f>
        <v>1</v>
      </c>
      <c r="H31" s="780">
        <f>+H30/J30</f>
        <v>0.53047577341317265</v>
      </c>
      <c r="I31" s="781">
        <f>+I30/J30</f>
        <v>0.4695242265868273</v>
      </c>
      <c r="J31" s="781">
        <f>+J30/J30</f>
        <v>1</v>
      </c>
      <c r="K31" s="780">
        <f>+K30/M30</f>
        <v>0.52401045943525459</v>
      </c>
      <c r="L31" s="781">
        <f>+L30/M30</f>
        <v>0.47598954056474529</v>
      </c>
      <c r="M31" s="781">
        <f>+M30/M30</f>
        <v>1</v>
      </c>
      <c r="N31" s="1067">
        <f>+N30/P30</f>
        <v>0.51433684079875241</v>
      </c>
      <c r="O31" s="1068">
        <f>+O30/P30</f>
        <v>0.48566315920124747</v>
      </c>
      <c r="P31" s="1068">
        <f>+P30/P30</f>
        <v>1</v>
      </c>
      <c r="Q31" s="1267">
        <f>+Q30/S30</f>
        <v>0.51375597798704931</v>
      </c>
      <c r="R31" s="1268">
        <f>+R30/S30</f>
        <v>0.48624402201295075</v>
      </c>
      <c r="S31" s="1268">
        <f>+S30/S30</f>
        <v>1</v>
      </c>
      <c r="T31" s="978">
        <f>+T30/V30</f>
        <v>0.50592479942132773</v>
      </c>
      <c r="U31" s="979">
        <f>+U30/V30</f>
        <v>0.49407520057867227</v>
      </c>
      <c r="V31" s="979">
        <f>+V30/V30</f>
        <v>1</v>
      </c>
      <c r="W31" s="1138"/>
      <c r="X31" s="336"/>
    </row>
    <row r="32" spans="1:25" ht="21" customHeight="1">
      <c r="A32" s="215"/>
      <c r="C32" s="1448"/>
      <c r="D32" s="729" t="s">
        <v>230</v>
      </c>
      <c r="E32" s="793">
        <f>+G32-F32</f>
        <v>856.61699999999996</v>
      </c>
      <c r="F32" s="601">
        <v>115.483</v>
      </c>
      <c r="G32" s="601">
        <v>972.1</v>
      </c>
      <c r="H32" s="793">
        <f>+J32-I32</f>
        <v>547.64200000000005</v>
      </c>
      <c r="I32" s="601">
        <v>105.101</v>
      </c>
      <c r="J32" s="601">
        <v>652.74300000000005</v>
      </c>
      <c r="K32" s="793">
        <f>+M32-L32</f>
        <v>464.43599999999998</v>
      </c>
      <c r="L32" s="601">
        <v>171.565</v>
      </c>
      <c r="M32" s="601">
        <v>636.00099999999998</v>
      </c>
      <c r="N32" s="1080">
        <f>+P32-O32</f>
        <v>382.10899999999998</v>
      </c>
      <c r="O32" s="1081">
        <v>95.638999999999996</v>
      </c>
      <c r="P32" s="1081">
        <v>477.74799999999999</v>
      </c>
      <c r="Q32" s="1280">
        <f>+S32-R32</f>
        <v>412.55199999999996</v>
      </c>
      <c r="R32" s="1281">
        <v>87.891000000000005</v>
      </c>
      <c r="S32" s="1281">
        <v>500.44299999999998</v>
      </c>
      <c r="T32" s="989">
        <f>+V32-U32</f>
        <v>397.29399999999998</v>
      </c>
      <c r="U32" s="1140">
        <v>95.742000000000004</v>
      </c>
      <c r="V32" s="1140">
        <v>493.036</v>
      </c>
      <c r="W32" s="1138"/>
    </row>
    <row r="33" spans="1:23" ht="21" customHeight="1" thickBot="1">
      <c r="A33" s="215"/>
      <c r="C33" s="1449"/>
      <c r="D33" s="730" t="s">
        <v>231</v>
      </c>
      <c r="E33" s="794">
        <f t="shared" ref="E33:S33" si="16">E32/E30</f>
        <v>2.4122775336965198E-2</v>
      </c>
      <c r="F33" s="795">
        <f t="shared" si="16"/>
        <v>3.8142330479448662E-3</v>
      </c>
      <c r="G33" s="795">
        <f t="shared" si="16"/>
        <v>1.4776346445358414E-2</v>
      </c>
      <c r="H33" s="794">
        <f t="shared" si="16"/>
        <v>1.5639366280708184E-2</v>
      </c>
      <c r="I33" s="795">
        <f t="shared" si="16"/>
        <v>3.3910703545544886E-3</v>
      </c>
      <c r="J33" s="795">
        <f t="shared" si="16"/>
        <v>9.8884946089742819E-3</v>
      </c>
      <c r="K33" s="794">
        <f t="shared" si="16"/>
        <v>1.3298008726012937E-2</v>
      </c>
      <c r="L33" s="795">
        <f t="shared" si="16"/>
        <v>5.4079414168942052E-3</v>
      </c>
      <c r="M33" s="795">
        <f t="shared" si="16"/>
        <v>9.5424192125205948E-3</v>
      </c>
      <c r="N33" s="1082">
        <f t="shared" si="16"/>
        <v>1.1193203738166638E-2</v>
      </c>
      <c r="O33" s="1083">
        <f t="shared" si="16"/>
        <v>2.9669801500313685E-3</v>
      </c>
      <c r="P33" s="1083">
        <f t="shared" si="16"/>
        <v>7.1980300020570405E-3</v>
      </c>
      <c r="Q33" s="1282">
        <f t="shared" si="16"/>
        <v>1.1801209721826909E-2</v>
      </c>
      <c r="R33" s="1283">
        <f t="shared" si="16"/>
        <v>2.6564084346068083E-3</v>
      </c>
      <c r="S33" s="1283">
        <f t="shared" si="16"/>
        <v>7.3546047634197986E-3</v>
      </c>
      <c r="T33" s="990">
        <f t="shared" ref="T33:V33" si="17">T32/T30</f>
        <v>1.1360856262509968E-2</v>
      </c>
      <c r="U33" s="991">
        <f t="shared" si="17"/>
        <v>2.803460664321382E-3</v>
      </c>
      <c r="V33" s="991">
        <f t="shared" si="17"/>
        <v>7.1328593159038951E-3</v>
      </c>
      <c r="W33" s="1138"/>
    </row>
    <row r="34" spans="1:23">
      <c r="A34" s="215"/>
    </row>
    <row r="35" spans="1:23">
      <c r="A35" s="215"/>
      <c r="C35" s="504" t="s">
        <v>238</v>
      </c>
    </row>
    <row r="36" spans="1:23">
      <c r="A36" s="215"/>
    </row>
    <row r="37" spans="1:23">
      <c r="A37" s="215"/>
      <c r="C37" s="338"/>
    </row>
  </sheetData>
  <mergeCells count="14">
    <mergeCell ref="C26:C29"/>
    <mergeCell ref="C30:C33"/>
    <mergeCell ref="C6:C9"/>
    <mergeCell ref="C10:C13"/>
    <mergeCell ref="C22:C25"/>
    <mergeCell ref="C1:BH1"/>
    <mergeCell ref="T4:V4"/>
    <mergeCell ref="C14:C17"/>
    <mergeCell ref="C18:C21"/>
    <mergeCell ref="Q4:S4"/>
    <mergeCell ref="E4:G4"/>
    <mergeCell ref="H4:J4"/>
    <mergeCell ref="K4:M4"/>
    <mergeCell ref="N4:P4"/>
  </mergeCells>
  <phoneticPr fontId="3" type="noConversion"/>
  <pageMargins left="0" right="0" top="0.62992125984251968" bottom="0" header="0" footer="0"/>
  <pageSetup paperSize="9" scale="64" orientation="landscape" useFirstPageNumber="1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>
      <selection activeCell="Q13" sqref="Q13"/>
    </sheetView>
  </sheetViews>
  <sheetFormatPr defaultRowHeight="15"/>
  <cols>
    <col min="1" max="1" width="16.7109375" style="466" customWidth="1"/>
    <col min="2" max="2" width="1.85546875" style="466" customWidth="1"/>
    <col min="3" max="3" width="2.28515625" style="466" customWidth="1"/>
    <col min="4" max="4" width="3" style="4" customWidth="1"/>
    <col min="5" max="5" width="24.7109375" style="4" customWidth="1"/>
    <col min="6" max="6" width="0.5703125" style="28" customWidth="1"/>
    <col min="7" max="7" width="4.7109375" style="28" customWidth="1"/>
    <col min="8" max="8" width="3" style="4" customWidth="1"/>
    <col min="9" max="9" width="2.28515625" style="4" customWidth="1"/>
    <col min="10" max="10" width="3" style="4" customWidth="1"/>
    <col min="11" max="11" width="24.7109375" style="4" customWidth="1"/>
    <col min="12" max="12" width="3.85546875" style="11" customWidth="1"/>
    <col min="13" max="13" width="1.42578125" style="11" customWidth="1"/>
    <col min="14" max="14" width="3" style="24" customWidth="1"/>
    <col min="15" max="15" width="2.28515625" style="24" customWidth="1"/>
    <col min="16" max="16" width="3" style="24" customWidth="1"/>
    <col min="17" max="17" width="26.140625" style="24" customWidth="1"/>
    <col min="18" max="18" width="4.28515625" style="11" customWidth="1"/>
    <col min="19" max="19" width="3" style="4" customWidth="1"/>
    <col min="20" max="20" width="2.28515625" style="4" customWidth="1"/>
    <col min="21" max="21" width="3" style="4" customWidth="1"/>
    <col min="22" max="22" width="22.7109375" style="4" customWidth="1"/>
    <col min="23" max="23" width="4.28515625" style="11" customWidth="1"/>
    <col min="24" max="24" width="2.28515625" style="4" customWidth="1"/>
    <col min="25" max="16384" width="9.140625" style="4"/>
  </cols>
  <sheetData>
    <row r="1" spans="1:24" s="464" customFormat="1" ht="38.25" customHeight="1">
      <c r="A1" s="845"/>
      <c r="B1" s="457"/>
      <c r="C1" s="457"/>
      <c r="D1" s="458" t="s">
        <v>18</v>
      </c>
      <c r="E1" s="459"/>
      <c r="F1" s="460"/>
      <c r="G1" s="460"/>
      <c r="H1" s="459"/>
      <c r="I1" s="459"/>
      <c r="J1" s="459"/>
      <c r="K1" s="459"/>
      <c r="L1" s="461"/>
      <c r="M1" s="461"/>
      <c r="N1" s="459"/>
      <c r="O1" s="459"/>
      <c r="P1" s="459"/>
      <c r="Q1" s="459"/>
      <c r="R1" s="461"/>
      <c r="S1" s="462"/>
      <c r="T1" s="462"/>
      <c r="U1" s="462"/>
      <c r="V1" s="462"/>
      <c r="W1" s="463"/>
    </row>
    <row r="2" spans="1:24" ht="9" customHeight="1">
      <c r="A2" s="465"/>
      <c r="R2" s="467"/>
    </row>
    <row r="3" spans="1:24" ht="41.25" customHeight="1">
      <c r="A3" s="465"/>
      <c r="D3" s="9"/>
      <c r="R3" s="467"/>
    </row>
    <row r="4" spans="1:24" ht="27" customHeight="1">
      <c r="A4" s="468"/>
      <c r="B4" s="469"/>
      <c r="C4" s="1375" t="s">
        <v>308</v>
      </c>
      <c r="D4" s="1375"/>
      <c r="E4" s="1375"/>
      <c r="F4" s="1375"/>
      <c r="G4" s="512"/>
      <c r="H4" s="513"/>
      <c r="I4" s="1375" t="s">
        <v>310</v>
      </c>
      <c r="J4" s="1375"/>
      <c r="K4" s="1375"/>
      <c r="L4" s="1375"/>
      <c r="M4" s="1375"/>
      <c r="N4" s="514"/>
      <c r="O4" s="1375" t="s">
        <v>311</v>
      </c>
      <c r="P4" s="1375"/>
      <c r="Q4" s="1375"/>
      <c r="R4" s="1375" t="s">
        <v>309</v>
      </c>
      <c r="S4" s="515"/>
      <c r="T4" s="1375" t="s">
        <v>131</v>
      </c>
      <c r="U4" s="1375"/>
      <c r="V4" s="1375"/>
      <c r="W4" s="1375"/>
      <c r="X4" s="8"/>
    </row>
    <row r="5" spans="1:24" ht="18" customHeight="1">
      <c r="A5" s="468"/>
      <c r="B5" s="469"/>
      <c r="C5" s="469"/>
      <c r="D5" s="22"/>
      <c r="E5" s="8"/>
      <c r="F5" s="16"/>
      <c r="G5" s="16"/>
      <c r="H5" s="8"/>
      <c r="I5" s="8"/>
      <c r="J5" s="8"/>
      <c r="K5" s="8"/>
      <c r="N5" s="4"/>
      <c r="O5" s="4"/>
      <c r="P5" s="8"/>
      <c r="Q5" s="8"/>
      <c r="R5" s="29"/>
      <c r="T5" s="22"/>
      <c r="U5" s="22"/>
      <c r="V5" s="22"/>
      <c r="W5" s="470"/>
      <c r="X5" s="8"/>
    </row>
    <row r="6" spans="1:24" ht="18" customHeight="1">
      <c r="A6" s="468"/>
      <c r="B6" s="469"/>
      <c r="C6" s="469"/>
      <c r="D6" s="658" t="s">
        <v>425</v>
      </c>
      <c r="E6" s="659"/>
      <c r="F6" s="660"/>
      <c r="G6" s="661"/>
      <c r="H6" s="2"/>
      <c r="I6" s="2"/>
      <c r="J6" s="658" t="s">
        <v>422</v>
      </c>
      <c r="K6" s="659"/>
      <c r="L6" s="660"/>
      <c r="M6" s="661"/>
      <c r="N6" s="3"/>
      <c r="O6" s="3"/>
      <c r="P6" s="658" t="s">
        <v>453</v>
      </c>
      <c r="Q6" s="659"/>
      <c r="R6" s="661"/>
      <c r="S6" s="3"/>
      <c r="T6" s="3"/>
      <c r="U6" s="658" t="s">
        <v>312</v>
      </c>
      <c r="V6" s="659"/>
      <c r="W6" s="661"/>
      <c r="X6" s="3"/>
    </row>
    <row r="7" spans="1:24" ht="18" customHeight="1">
      <c r="A7" s="468"/>
      <c r="D7" s="526"/>
      <c r="E7" s="654" t="s">
        <v>426</v>
      </c>
      <c r="F7" s="528"/>
      <c r="G7" s="12" t="s">
        <v>331</v>
      </c>
      <c r="H7" s="529"/>
      <c r="I7" s="529"/>
      <c r="J7" s="525"/>
      <c r="K7" s="527" t="s">
        <v>332</v>
      </c>
      <c r="L7" s="11" t="s">
        <v>362</v>
      </c>
      <c r="M7" s="531"/>
      <c r="N7" s="526"/>
      <c r="O7" s="526"/>
      <c r="P7" s="532"/>
      <c r="Q7" s="865" t="s">
        <v>455</v>
      </c>
      <c r="R7" s="16" t="s">
        <v>343</v>
      </c>
      <c r="S7" s="526"/>
      <c r="T7" s="526"/>
      <c r="U7" s="533"/>
      <c r="V7" s="752" t="s">
        <v>377</v>
      </c>
      <c r="W7" s="28" t="s">
        <v>10</v>
      </c>
      <c r="X7" s="526"/>
    </row>
    <row r="8" spans="1:24" ht="18" customHeight="1">
      <c r="A8" s="468"/>
      <c r="B8" s="473"/>
      <c r="C8" s="473"/>
      <c r="D8" s="526"/>
      <c r="E8" s="654" t="s">
        <v>427</v>
      </c>
      <c r="F8" s="528"/>
      <c r="G8" s="12" t="s">
        <v>333</v>
      </c>
      <c r="H8" s="528"/>
      <c r="I8" s="529"/>
      <c r="J8" s="535"/>
      <c r="K8" s="536"/>
      <c r="L8" s="537"/>
      <c r="M8" s="537"/>
      <c r="N8" s="526"/>
      <c r="O8" s="526"/>
      <c r="P8" s="532"/>
      <c r="Q8" s="865" t="s">
        <v>456</v>
      </c>
      <c r="R8" s="16" t="s">
        <v>452</v>
      </c>
      <c r="S8" s="538"/>
      <c r="T8" s="526"/>
      <c r="U8" s="525"/>
      <c r="V8" s="539"/>
      <c r="W8" s="530"/>
      <c r="X8" s="538"/>
    </row>
    <row r="9" spans="1:24" ht="18" customHeight="1">
      <c r="A9" s="468"/>
      <c r="B9" s="473"/>
      <c r="C9" s="473"/>
      <c r="D9" s="526"/>
      <c r="E9" s="471" t="s">
        <v>497</v>
      </c>
      <c r="F9" s="528"/>
      <c r="G9" s="638" t="s">
        <v>361</v>
      </c>
      <c r="H9" s="529"/>
      <c r="I9" s="529"/>
      <c r="J9" s="525"/>
      <c r="K9" s="541"/>
      <c r="L9" s="542"/>
      <c r="M9" s="542"/>
      <c r="N9" s="526"/>
      <c r="O9" s="526"/>
      <c r="P9" s="525"/>
      <c r="Q9" s="527"/>
      <c r="R9" s="530"/>
      <c r="S9" s="525"/>
      <c r="T9" s="526"/>
      <c r="U9" s="526"/>
      <c r="V9" s="539"/>
      <c r="W9" s="530"/>
      <c r="X9" s="532"/>
    </row>
    <row r="10" spans="1:24" ht="18" customHeight="1">
      <c r="A10" s="468"/>
      <c r="B10" s="473"/>
      <c r="C10" s="473"/>
      <c r="E10" s="471"/>
      <c r="F10" s="5"/>
      <c r="G10" s="6"/>
      <c r="H10" s="8"/>
      <c r="I10" s="8"/>
      <c r="J10" s="8"/>
      <c r="K10" s="8"/>
      <c r="N10" s="4"/>
      <c r="O10" s="7"/>
      <c r="P10" s="7"/>
      <c r="Q10" s="471"/>
      <c r="R10" s="14"/>
      <c r="S10" s="15"/>
      <c r="X10" s="8"/>
    </row>
    <row r="11" spans="1:24" s="3" customFormat="1" ht="18" customHeight="1">
      <c r="A11" s="475"/>
      <c r="B11" s="473"/>
      <c r="C11" s="4"/>
      <c r="D11" s="8"/>
      <c r="E11" s="16"/>
      <c r="F11" s="16"/>
      <c r="G11" s="8"/>
      <c r="H11" s="8"/>
      <c r="I11" s="8"/>
      <c r="J11" s="17"/>
      <c r="K11" s="17"/>
      <c r="L11" s="14"/>
      <c r="M11" s="14"/>
      <c r="P11" s="7"/>
      <c r="Q11" s="18"/>
      <c r="R11" s="14"/>
      <c r="S11" s="15"/>
      <c r="T11" s="4"/>
      <c r="U11" s="4"/>
      <c r="V11" s="4"/>
      <c r="W11" s="11"/>
    </row>
    <row r="12" spans="1:24" ht="18" customHeight="1">
      <c r="A12" s="468"/>
      <c r="B12" s="473"/>
      <c r="C12" s="473"/>
      <c r="D12" s="19"/>
      <c r="E12" s="19"/>
      <c r="F12" s="20"/>
      <c r="G12" s="20"/>
      <c r="H12" s="21"/>
      <c r="J12" s="658" t="s">
        <v>423</v>
      </c>
      <c r="K12" s="659"/>
      <c r="L12" s="660"/>
      <c r="M12" s="661"/>
      <c r="N12" s="4"/>
      <c r="O12" s="4"/>
      <c r="P12" s="658" t="s">
        <v>432</v>
      </c>
      <c r="Q12" s="659"/>
      <c r="R12" s="661"/>
      <c r="S12" s="22"/>
      <c r="U12" s="658" t="s">
        <v>388</v>
      </c>
      <c r="V12" s="659"/>
      <c r="W12" s="661"/>
      <c r="X12" s="8"/>
    </row>
    <row r="13" spans="1:24" ht="18" customHeight="1">
      <c r="A13" s="468"/>
      <c r="B13" s="469"/>
      <c r="C13" s="469"/>
      <c r="D13" s="7"/>
      <c r="E13" s="471"/>
      <c r="F13" s="5"/>
      <c r="G13" s="5"/>
      <c r="H13" s="21"/>
      <c r="I13" s="526"/>
      <c r="J13" s="543"/>
      <c r="K13" s="540" t="s">
        <v>334</v>
      </c>
      <c r="L13" s="636" t="s">
        <v>363</v>
      </c>
      <c r="M13" s="544"/>
      <c r="N13" s="526"/>
      <c r="O13" s="526"/>
      <c r="P13" s="545" t="s">
        <v>335</v>
      </c>
      <c r="Q13" s="657" t="s">
        <v>375</v>
      </c>
      <c r="R13" s="399" t="s">
        <v>367</v>
      </c>
      <c r="S13" s="546"/>
      <c r="T13" s="526"/>
      <c r="U13" s="525"/>
      <c r="V13" s="657" t="s">
        <v>390</v>
      </c>
      <c r="W13" s="399" t="s">
        <v>370</v>
      </c>
      <c r="X13" s="8"/>
    </row>
    <row r="14" spans="1:24" ht="18" customHeight="1">
      <c r="A14" s="468"/>
      <c r="D14" s="7"/>
      <c r="E14" s="471"/>
      <c r="F14" s="13"/>
      <c r="G14" s="13"/>
      <c r="H14" s="25"/>
      <c r="I14" s="526"/>
      <c r="J14" s="547"/>
      <c r="K14" s="540" t="s">
        <v>337</v>
      </c>
      <c r="L14" s="636" t="s">
        <v>364</v>
      </c>
      <c r="M14" s="548"/>
      <c r="N14" s="526"/>
      <c r="O14" s="526"/>
      <c r="P14" s="545"/>
      <c r="Q14" s="798" t="s">
        <v>392</v>
      </c>
      <c r="R14" s="399" t="s">
        <v>336</v>
      </c>
      <c r="S14" s="546"/>
      <c r="T14" s="526"/>
      <c r="U14" s="525"/>
      <c r="V14" s="815" t="s">
        <v>418</v>
      </c>
      <c r="W14" s="399" t="s">
        <v>454</v>
      </c>
      <c r="X14" s="477"/>
    </row>
    <row r="15" spans="1:24" s="3" customFormat="1" ht="18" customHeight="1">
      <c r="A15" s="475"/>
      <c r="B15" s="478"/>
      <c r="C15" s="478"/>
      <c r="D15" s="7"/>
      <c r="E15" s="471"/>
      <c r="F15" s="13"/>
      <c r="G15" s="13"/>
      <c r="I15" s="549"/>
      <c r="J15" s="550"/>
      <c r="K15" s="1355" t="s">
        <v>339</v>
      </c>
      <c r="L15" s="637"/>
      <c r="M15" s="551"/>
      <c r="N15" s="549"/>
      <c r="O15" s="549"/>
      <c r="P15" s="545"/>
      <c r="Q15" s="753"/>
      <c r="R15" s="399"/>
      <c r="S15" s="546"/>
      <c r="T15" s="526"/>
      <c r="U15" s="526"/>
      <c r="V15" s="524"/>
      <c r="W15" s="399"/>
      <c r="X15" s="479"/>
    </row>
    <row r="16" spans="1:24" ht="18" customHeight="1">
      <c r="A16" s="468"/>
      <c r="B16" s="473"/>
      <c r="C16" s="473"/>
      <c r="E16" s="471"/>
      <c r="F16" s="16"/>
      <c r="G16" s="16"/>
      <c r="H16" s="8"/>
      <c r="I16" s="532"/>
      <c r="J16" s="532"/>
      <c r="K16" s="552" t="s">
        <v>340</v>
      </c>
      <c r="L16" s="636" t="s">
        <v>338</v>
      </c>
      <c r="M16" s="544"/>
      <c r="N16" s="526"/>
      <c r="O16" s="526"/>
      <c r="P16" s="549"/>
      <c r="Q16" s="553"/>
      <c r="R16" s="554"/>
      <c r="S16" s="555"/>
      <c r="T16" s="556"/>
      <c r="U16" s="525"/>
      <c r="V16" s="525"/>
      <c r="W16" s="557"/>
      <c r="X16" s="8"/>
    </row>
    <row r="17" spans="1:24" ht="18" customHeight="1">
      <c r="A17" s="468"/>
      <c r="B17" s="473"/>
      <c r="C17" s="473"/>
      <c r="E17" s="8"/>
      <c r="F17" s="16"/>
      <c r="G17" s="16"/>
      <c r="H17" s="8"/>
      <c r="I17" s="526"/>
      <c r="J17" s="558"/>
      <c r="K17" s="552" t="s">
        <v>341</v>
      </c>
      <c r="L17" s="636" t="s">
        <v>365</v>
      </c>
      <c r="M17" s="548"/>
      <c r="N17" s="526"/>
      <c r="O17" s="526"/>
      <c r="P17" s="549"/>
      <c r="Q17" s="559"/>
      <c r="R17" s="534"/>
      <c r="S17" s="546"/>
      <c r="T17" s="526"/>
      <c r="U17" s="535"/>
      <c r="V17" s="535"/>
      <c r="W17" s="560"/>
      <c r="X17" s="8"/>
    </row>
    <row r="18" spans="1:24" ht="18" customHeight="1">
      <c r="A18" s="468"/>
      <c r="B18" s="473"/>
      <c r="C18" s="473"/>
      <c r="D18" s="19"/>
      <c r="E18" s="19"/>
      <c r="F18" s="20"/>
      <c r="G18" s="20"/>
      <c r="K18" s="527" t="s">
        <v>342</v>
      </c>
      <c r="L18" s="16" t="s">
        <v>366</v>
      </c>
      <c r="N18" s="4"/>
      <c r="O18" s="4"/>
      <c r="P18" s="658" t="s">
        <v>424</v>
      </c>
      <c r="Q18" s="659"/>
      <c r="R18" s="661"/>
      <c r="U18" s="9"/>
      <c r="V18" s="9"/>
      <c r="W18" s="29"/>
      <c r="X18" s="8"/>
    </row>
    <row r="19" spans="1:24" ht="18" customHeight="1">
      <c r="A19" s="468"/>
      <c r="B19" s="473"/>
      <c r="C19" s="473"/>
      <c r="E19" s="471"/>
      <c r="G19" s="6"/>
      <c r="K19" s="471"/>
      <c r="N19" s="4"/>
      <c r="O19" s="4"/>
      <c r="P19" s="7"/>
      <c r="Q19" s="476" t="s">
        <v>373</v>
      </c>
      <c r="R19" s="399" t="s">
        <v>368</v>
      </c>
      <c r="S19" s="395"/>
      <c r="T19" s="395"/>
      <c r="U19" s="396"/>
      <c r="V19" s="476"/>
      <c r="W19" s="16"/>
      <c r="X19" s="8"/>
    </row>
    <row r="20" spans="1:24" s="3" customFormat="1" ht="18" customHeight="1">
      <c r="A20" s="475"/>
      <c r="B20" s="478"/>
      <c r="C20" s="478"/>
      <c r="D20" s="4"/>
      <c r="E20" s="471"/>
      <c r="F20" s="28"/>
      <c r="G20" s="28"/>
      <c r="J20" s="4"/>
      <c r="K20" s="23"/>
      <c r="L20" s="11"/>
      <c r="M20" s="11"/>
      <c r="N20" s="4"/>
      <c r="P20" s="7"/>
      <c r="Q20" s="754" t="s">
        <v>382</v>
      </c>
      <c r="R20" s="399" t="s">
        <v>369</v>
      </c>
      <c r="S20" s="397"/>
      <c r="T20" s="397"/>
      <c r="U20" s="396"/>
      <c r="V20" s="476"/>
      <c r="W20" s="26"/>
    </row>
    <row r="21" spans="1:24" ht="18" customHeight="1">
      <c r="A21" s="468"/>
      <c r="B21" s="473"/>
      <c r="C21" s="473"/>
      <c r="E21" s="471"/>
      <c r="K21" s="21"/>
      <c r="N21" s="4"/>
      <c r="O21" s="4"/>
      <c r="P21" s="4"/>
      <c r="Q21" s="754" t="s">
        <v>384</v>
      </c>
      <c r="R21" s="399" t="s">
        <v>8</v>
      </c>
      <c r="S21" s="397"/>
      <c r="T21" s="395"/>
      <c r="U21" s="397"/>
      <c r="V21" s="398"/>
      <c r="W21" s="28"/>
    </row>
    <row r="22" spans="1:24" ht="18" customHeight="1">
      <c r="A22" s="468"/>
      <c r="B22" s="473"/>
      <c r="C22" s="473"/>
      <c r="D22" s="23"/>
      <c r="E22" s="471"/>
      <c r="F22" s="16"/>
      <c r="G22" s="16"/>
      <c r="K22" s="21"/>
      <c r="N22" s="4"/>
      <c r="O22" s="4"/>
      <c r="P22" s="7"/>
      <c r="Q22" s="754" t="s">
        <v>383</v>
      </c>
      <c r="R22" s="399" t="s">
        <v>9</v>
      </c>
      <c r="S22" s="395"/>
      <c r="T22" s="395"/>
      <c r="U22" s="395"/>
      <c r="V22" s="395"/>
    </row>
    <row r="23" spans="1:24" ht="18" customHeight="1">
      <c r="A23" s="468"/>
      <c r="B23" s="473"/>
      <c r="C23" s="473"/>
      <c r="D23" s="23"/>
      <c r="E23" s="474"/>
      <c r="F23" s="16"/>
      <c r="G23" s="16"/>
      <c r="K23" s="21"/>
      <c r="N23" s="4"/>
      <c r="O23" s="4"/>
      <c r="P23" s="7"/>
      <c r="Q23" s="564"/>
      <c r="R23" s="399"/>
      <c r="S23" s="395"/>
      <c r="T23" s="395"/>
      <c r="U23" s="395"/>
      <c r="V23" s="395"/>
    </row>
    <row r="24" spans="1:24" ht="5.25" customHeight="1">
      <c r="A24" s="468"/>
      <c r="B24" s="473"/>
      <c r="C24" s="473"/>
      <c r="K24" s="472"/>
      <c r="N24" s="4"/>
      <c r="O24" s="4"/>
      <c r="P24" s="7"/>
      <c r="Q24" s="472"/>
    </row>
    <row r="25" spans="1:24" ht="25.5" customHeight="1">
      <c r="A25" s="468"/>
      <c r="B25" s="473"/>
      <c r="C25" s="480"/>
      <c r="N25" s="4"/>
      <c r="O25" s="4"/>
      <c r="P25" s="4"/>
      <c r="Q25" s="8"/>
    </row>
    <row r="26" spans="1:24" ht="25.5" customHeight="1">
      <c r="A26" s="468"/>
      <c r="B26" s="4"/>
      <c r="C26" s="4"/>
      <c r="N26" s="4"/>
      <c r="O26" s="4"/>
      <c r="P26" s="4"/>
      <c r="Q26" s="4"/>
    </row>
    <row r="27" spans="1:24" ht="18" customHeight="1">
      <c r="A27" s="468"/>
      <c r="B27" s="4"/>
      <c r="C27" s="4"/>
      <c r="E27" s="8"/>
      <c r="F27" s="16"/>
      <c r="G27" s="16"/>
      <c r="H27" s="8"/>
      <c r="I27" s="8"/>
      <c r="J27" s="8"/>
      <c r="K27" s="8"/>
      <c r="N27" s="4"/>
      <c r="O27" s="4"/>
      <c r="P27" s="4"/>
      <c r="Q27" s="4"/>
    </row>
    <row r="28" spans="1:24" ht="18" customHeight="1">
      <c r="A28" s="468"/>
      <c r="B28" s="473"/>
      <c r="C28" s="473"/>
      <c r="E28" s="8"/>
      <c r="F28" s="16"/>
      <c r="G28" s="16"/>
      <c r="H28" s="8"/>
      <c r="I28" s="8"/>
      <c r="J28" s="8"/>
      <c r="K28" s="8"/>
      <c r="N28" s="4"/>
      <c r="O28" s="4"/>
      <c r="P28" s="4"/>
      <c r="Q28" s="4"/>
    </row>
    <row r="29" spans="1:24" ht="18" customHeight="1">
      <c r="A29" s="465"/>
      <c r="E29" s="8"/>
      <c r="F29" s="16"/>
      <c r="G29" s="16"/>
      <c r="H29" s="8"/>
      <c r="I29" s="8"/>
      <c r="J29" s="8"/>
      <c r="K29" s="8"/>
      <c r="N29" s="4"/>
      <c r="O29" s="4"/>
      <c r="P29" s="4"/>
      <c r="Q29" s="4"/>
    </row>
    <row r="30" spans="1:24" ht="18" customHeight="1">
      <c r="A30" s="465"/>
      <c r="E30" s="8"/>
      <c r="F30" s="16"/>
      <c r="G30" s="16"/>
      <c r="H30" s="8"/>
      <c r="I30" s="8"/>
      <c r="J30" s="8"/>
      <c r="K30" s="8"/>
      <c r="N30" s="9"/>
      <c r="O30" s="9"/>
      <c r="P30" s="4"/>
      <c r="Q30" s="4"/>
    </row>
    <row r="31" spans="1:24">
      <c r="A31" s="905"/>
      <c r="N31" s="8"/>
      <c r="O31" s="8"/>
      <c r="P31" s="4"/>
      <c r="Q31" s="4"/>
    </row>
    <row r="32" spans="1:24">
      <c r="A32" s="905"/>
      <c r="N32" s="8"/>
      <c r="O32" s="8"/>
      <c r="P32" s="9"/>
      <c r="Q32" s="9"/>
    </row>
    <row r="33" spans="6:17">
      <c r="N33" s="8"/>
      <c r="O33" s="8"/>
      <c r="P33" s="8"/>
      <c r="Q33" s="8"/>
    </row>
    <row r="34" spans="6:17">
      <c r="P34" s="8"/>
      <c r="Q34" s="8"/>
    </row>
    <row r="35" spans="6:17">
      <c r="F35" s="4"/>
      <c r="G35" s="11"/>
      <c r="H35" s="11"/>
      <c r="I35" s="24"/>
      <c r="J35" s="24"/>
      <c r="K35" s="8"/>
      <c r="L35" s="8"/>
      <c r="N35" s="4"/>
      <c r="O35" s="4"/>
      <c r="P35" s="4"/>
      <c r="Q35" s="4"/>
    </row>
    <row r="36" spans="6:17">
      <c r="F36" s="4"/>
      <c r="G36" s="11"/>
      <c r="H36" s="11"/>
      <c r="I36" s="24"/>
      <c r="J36" s="24"/>
      <c r="K36" s="24"/>
      <c r="L36" s="24"/>
      <c r="N36" s="4"/>
      <c r="O36" s="4"/>
      <c r="P36" s="4"/>
      <c r="Q36" s="4"/>
    </row>
  </sheetData>
  <mergeCells count="4">
    <mergeCell ref="C4:F4"/>
    <mergeCell ref="I4:M4"/>
    <mergeCell ref="O4:R4"/>
    <mergeCell ref="T4:W4"/>
  </mergeCells>
  <phoneticPr fontId="3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그룹 연결대차대조표"/>
    <hyperlink ref="E8" location="Group_IS!A1" display="□ 그룹 연결손익계산서"/>
    <hyperlink ref="K7" location="'Deposit Breakdown'!A1" display="□ 수신구성"/>
    <hyperlink ref="K13" location="'Loan Breakdown(Total Credit)'!A1" display="□ 차주별 총여신"/>
    <hyperlink ref="K14" location="'Loan Breakdown(Loans in KRW)'!A1" display="□ 차주별 원화대출금"/>
    <hyperlink ref="K16" location="'Loan Breakdown-1'!A1" display=" - 대기업, 중소기업"/>
    <hyperlink ref="K17" location="'Loan Breakdown-2'!A1" display=" - 가계, 공공/기타"/>
    <hyperlink ref="K18" location="'Loan Maturity2601'!A1" display="□ 여신 만기구조"/>
    <hyperlink ref="Q13" location="'Asset Quality-Group'!A1" display="□ 그룹 자산건전성"/>
    <hyperlink ref="Q19" location="'Asset Quality by Borrower'!A1" display="□ 차주별 자산건전성"/>
    <hyperlink ref="V7" location="'BIS Ratio'!A1" display="□ BIS 비율"/>
    <hyperlink ref="V13" location="'Woori Card'!A1" display="□ Woori Card"/>
    <hyperlink ref="V14" location="Card_AQ!A1" display="□ 자산건전성"/>
    <hyperlink ref="E9" location="'Group IS by Subsidiary'!A1" display="□ 회사별 손익구성"/>
    <hyperlink ref="Q7" location="'NIM(Bank+Card)'!A1" display="□ NIM (은행+카드)"/>
    <hyperlink ref="Q14" location="LLP!A1" display="□ 대손충당금 전입"/>
    <hyperlink ref="Q20" location="'Delinquency by Borrower'!A1" display="□ 차주별 연체율"/>
    <hyperlink ref="Q21" location="'Delinquency by Industry(Corp)'!A1" display="□ 기업여신의 산업별 연체"/>
    <hyperlink ref="Q22" location="'Delinquency by Industry(SME)'!A1" display="□ SME여신의 산업별 연체"/>
    <hyperlink ref="Q8" location="'NIM(Bank)'!A1" display="□ NIM/NIS (은행)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topLeftCell="B10" zoomScale="90" zoomScaleNormal="80" zoomScaleSheetLayoutView="90" workbookViewId="0">
      <selection activeCell="C32" sqref="C32:C33"/>
    </sheetView>
  </sheetViews>
  <sheetFormatPr defaultColWidth="11.42578125" defaultRowHeight="18"/>
  <cols>
    <col min="1" max="1" width="18.7109375" style="342" customWidth="1"/>
    <col min="2" max="2" width="4.5703125" style="342" customWidth="1"/>
    <col min="3" max="3" width="49.7109375" style="349" customWidth="1"/>
    <col min="4" max="9" width="17.42578125" style="349" customWidth="1"/>
    <col min="10" max="10" width="5" style="342" customWidth="1"/>
    <col min="11" max="16384" width="11.42578125" style="342"/>
  </cols>
  <sheetData>
    <row r="1" spans="1:11" ht="30.75" customHeight="1">
      <c r="A1" s="810"/>
      <c r="B1" s="340"/>
      <c r="C1" s="625" t="s">
        <v>376</v>
      </c>
      <c r="D1" s="341"/>
      <c r="E1" s="341"/>
      <c r="F1" s="341"/>
      <c r="G1" s="341"/>
      <c r="H1" s="341"/>
      <c r="I1" s="341"/>
      <c r="J1" s="341"/>
    </row>
    <row r="2" spans="1:11" ht="7.5" customHeight="1">
      <c r="A2" s="343"/>
      <c r="B2" s="344"/>
      <c r="C2" s="345"/>
      <c r="D2" s="345"/>
      <c r="E2" s="345"/>
      <c r="F2" s="345"/>
      <c r="G2" s="345"/>
      <c r="H2" s="345"/>
      <c r="I2" s="345"/>
    </row>
    <row r="3" spans="1:11" ht="27" customHeight="1">
      <c r="A3" s="346"/>
      <c r="B3" s="344"/>
      <c r="C3" s="169"/>
      <c r="D3" s="347"/>
      <c r="E3" s="347"/>
      <c r="F3" s="347"/>
      <c r="G3" s="347"/>
      <c r="H3" s="347"/>
      <c r="I3" s="99"/>
    </row>
    <row r="4" spans="1:11" ht="11.25" customHeight="1">
      <c r="A4" s="348"/>
      <c r="D4" s="1454" t="s">
        <v>486</v>
      </c>
      <c r="E4" s="1454" t="s">
        <v>490</v>
      </c>
      <c r="F4" s="1454" t="s">
        <v>492</v>
      </c>
      <c r="G4" s="1454" t="s">
        <v>498</v>
      </c>
      <c r="H4" s="1454" t="s">
        <v>502</v>
      </c>
      <c r="I4" s="1456"/>
      <c r="J4" s="350"/>
    </row>
    <row r="5" spans="1:11" s="352" customFormat="1" ht="17.25" customHeight="1">
      <c r="A5" s="351"/>
      <c r="C5" s="505" t="s">
        <v>75</v>
      </c>
      <c r="D5" s="1455"/>
      <c r="E5" s="1455"/>
      <c r="F5" s="1455"/>
      <c r="G5" s="1455"/>
      <c r="H5" s="1455"/>
      <c r="I5" s="1456"/>
    </row>
    <row r="6" spans="1:11" s="352" customFormat="1" ht="7.5" customHeight="1">
      <c r="A6" s="351"/>
      <c r="D6" s="353"/>
      <c r="E6" s="353"/>
      <c r="F6" s="353"/>
      <c r="G6" s="353"/>
      <c r="H6" s="353"/>
      <c r="I6" s="353"/>
      <c r="J6" s="353"/>
      <c r="K6" s="353"/>
    </row>
    <row r="7" spans="1:11" s="355" customFormat="1" ht="21" customHeight="1">
      <c r="A7" s="354"/>
      <c r="C7" s="747" t="s">
        <v>241</v>
      </c>
      <c r="D7" s="522">
        <f>D8+D15</f>
        <v>16431.04</v>
      </c>
      <c r="E7" s="522">
        <f>E8+E15</f>
        <v>17196.47</v>
      </c>
      <c r="F7" s="522">
        <f>F8+F15</f>
        <v>18990.495999999999</v>
      </c>
      <c r="G7" s="522">
        <f>G8+G15</f>
        <v>19050.024000000001</v>
      </c>
      <c r="H7" s="1025">
        <f>H8+H15</f>
        <v>19254.2</v>
      </c>
      <c r="I7" s="816"/>
    </row>
    <row r="8" spans="1:11" s="355" customFormat="1" ht="21" customHeight="1">
      <c r="A8" s="354"/>
      <c r="C8" s="749" t="s">
        <v>349</v>
      </c>
      <c r="D8" s="522">
        <f>SUM(D9:D14)</f>
        <v>13713.254999999999</v>
      </c>
      <c r="E8" s="522">
        <f>SUM(E9:E14)</f>
        <v>13930.67</v>
      </c>
      <c r="F8" s="522">
        <v>15715</v>
      </c>
      <c r="G8" s="522">
        <v>16078.903</v>
      </c>
      <c r="H8" s="1025">
        <v>16209.5</v>
      </c>
      <c r="I8" s="816"/>
    </row>
    <row r="9" spans="1:11" s="355" customFormat="1" ht="21" customHeight="1">
      <c r="A9" s="354"/>
      <c r="C9" s="748" t="s">
        <v>242</v>
      </c>
      <c r="D9" s="519">
        <v>3381.3919999999998</v>
      </c>
      <c r="E9" s="519">
        <v>3381.3919999999998</v>
      </c>
      <c r="F9" s="519">
        <v>3381.3919999999998</v>
      </c>
      <c r="G9" s="519">
        <v>3381.3919999999998</v>
      </c>
      <c r="H9" s="946"/>
      <c r="I9" s="817"/>
    </row>
    <row r="10" spans="1:11" s="355" customFormat="1" ht="21" customHeight="1">
      <c r="A10" s="354"/>
      <c r="C10" s="748" t="s">
        <v>243</v>
      </c>
      <c r="D10" s="519">
        <v>269.53300000000002</v>
      </c>
      <c r="E10" s="519">
        <v>269.53300000000002</v>
      </c>
      <c r="F10" s="519">
        <v>269.53300000000002</v>
      </c>
      <c r="G10" s="519">
        <v>269.53300000000002</v>
      </c>
      <c r="H10" s="946"/>
      <c r="I10" s="817"/>
    </row>
    <row r="11" spans="1:11" s="355" customFormat="1" ht="21" customHeight="1">
      <c r="A11" s="354"/>
      <c r="C11" s="748" t="s">
        <v>419</v>
      </c>
      <c r="D11" s="519">
        <v>0</v>
      </c>
      <c r="E11" s="519">
        <v>0</v>
      </c>
      <c r="F11" s="519">
        <v>0</v>
      </c>
      <c r="G11" s="519">
        <v>0</v>
      </c>
      <c r="H11" s="946"/>
      <c r="I11" s="817"/>
    </row>
    <row r="12" spans="1:11" s="355" customFormat="1" ht="21" customHeight="1">
      <c r="A12" s="354"/>
      <c r="C12" s="748" t="s">
        <v>347</v>
      </c>
      <c r="D12" s="519">
        <v>11939.757</v>
      </c>
      <c r="E12" s="519">
        <v>12259.441000000001</v>
      </c>
      <c r="F12" s="519">
        <v>14611.566000000001</v>
      </c>
      <c r="G12" s="519">
        <v>14930.465</v>
      </c>
      <c r="H12" s="946"/>
      <c r="I12" s="817"/>
    </row>
    <row r="13" spans="1:11" s="355" customFormat="1" ht="21" customHeight="1">
      <c r="A13" s="354"/>
      <c r="C13" s="748" t="s">
        <v>244</v>
      </c>
      <c r="D13" s="519">
        <f>-1450.06+15.647</f>
        <v>-1434.413</v>
      </c>
      <c r="E13" s="519">
        <v>-1539.8820000000001</v>
      </c>
      <c r="F13" s="519">
        <f>-1417.115+21.972</f>
        <v>-1395.143</v>
      </c>
      <c r="G13" s="1344">
        <f>-1523.577+20.982</f>
        <v>-1502.595</v>
      </c>
      <c r="H13" s="946"/>
      <c r="I13" s="817"/>
    </row>
    <row r="14" spans="1:11" s="359" customFormat="1" ht="21" customHeight="1">
      <c r="A14" s="358"/>
      <c r="C14" s="748" t="s">
        <v>348</v>
      </c>
      <c r="D14" s="519">
        <v>-443.01400000000001</v>
      </c>
      <c r="E14" s="519">
        <v>-439.81400000000002</v>
      </c>
      <c r="F14" s="519">
        <v>-1152.8679999999999</v>
      </c>
      <c r="G14" s="519">
        <v>-999.89200000000005</v>
      </c>
      <c r="H14" s="946"/>
      <c r="I14" s="817"/>
    </row>
    <row r="15" spans="1:11" s="355" customFormat="1" ht="21" customHeight="1">
      <c r="A15" s="354"/>
      <c r="C15" s="749" t="s">
        <v>350</v>
      </c>
      <c r="D15" s="522">
        <v>2717.7849999999999</v>
      </c>
      <c r="E15" s="522">
        <v>3265.8</v>
      </c>
      <c r="F15" s="522">
        <v>3275.4960000000001</v>
      </c>
      <c r="G15" s="522">
        <v>2971.1210000000001</v>
      </c>
      <c r="H15" s="1025">
        <v>3044.7</v>
      </c>
      <c r="I15" s="816"/>
    </row>
    <row r="16" spans="1:11" s="355" customFormat="1" ht="21" customHeight="1">
      <c r="A16" s="354"/>
      <c r="C16" s="748" t="s">
        <v>420</v>
      </c>
      <c r="D16" s="519">
        <f>954.797+1727.522</f>
        <v>2682.319</v>
      </c>
      <c r="E16" s="519">
        <v>3232.2240000000002</v>
      </c>
      <c r="F16" s="519">
        <v>3232.2240000000002</v>
      </c>
      <c r="G16" s="519">
        <f>2944.304</f>
        <v>2944.3040000000001</v>
      </c>
      <c r="H16" s="946"/>
      <c r="I16" s="817"/>
    </row>
    <row r="17" spans="1:10" s="359" customFormat="1" ht="21" customHeight="1">
      <c r="A17" s="358"/>
      <c r="C17" s="748" t="s">
        <v>351</v>
      </c>
      <c r="D17" s="519">
        <v>35.466000000000001</v>
      </c>
      <c r="E17" s="519">
        <v>33.573999999999998</v>
      </c>
      <c r="F17" s="519">
        <v>43.271999999999998</v>
      </c>
      <c r="G17" s="519">
        <v>26.817</v>
      </c>
      <c r="H17" s="946"/>
      <c r="I17" s="817"/>
    </row>
    <row r="18" spans="1:10" s="355" customFormat="1" ht="21" customHeight="1">
      <c r="A18" s="354"/>
      <c r="C18" s="749" t="s">
        <v>245</v>
      </c>
      <c r="D18" s="522">
        <v>4865.8810000000003</v>
      </c>
      <c r="E18" s="522">
        <v>4762.5</v>
      </c>
      <c r="F18" s="522">
        <v>3910.5129999999999</v>
      </c>
      <c r="G18" s="522">
        <v>3402.3789999999999</v>
      </c>
      <c r="H18" s="1025">
        <v>3432.7</v>
      </c>
      <c r="I18" s="816"/>
    </row>
    <row r="19" spans="1:10" s="359" customFormat="1" ht="21" customHeight="1">
      <c r="A19" s="358"/>
      <c r="C19" s="748" t="s">
        <v>421</v>
      </c>
      <c r="D19" s="519">
        <f>1414.7+2276.698</f>
        <v>3691.3980000000001</v>
      </c>
      <c r="E19" s="519">
        <v>3599.2829999999999</v>
      </c>
      <c r="F19" s="519">
        <v>3750.3829999999998</v>
      </c>
      <c r="G19" s="519">
        <v>3249.3069999999998</v>
      </c>
      <c r="H19" s="946"/>
      <c r="I19" s="817"/>
    </row>
    <row r="20" spans="1:10" s="359" customFormat="1" ht="21" customHeight="1">
      <c r="A20" s="358"/>
      <c r="C20" s="748" t="s">
        <v>246</v>
      </c>
      <c r="D20" s="521">
        <v>572.31600000000003</v>
      </c>
      <c r="E20" s="521">
        <v>570.21400000000006</v>
      </c>
      <c r="F20" s="521">
        <v>144.83699999999999</v>
      </c>
      <c r="G20" s="521">
        <v>137.29599999999999</v>
      </c>
      <c r="H20" s="947"/>
      <c r="I20" s="817"/>
    </row>
    <row r="21" spans="1:10" s="359" customFormat="1" ht="21" customHeight="1" thickBot="1">
      <c r="A21" s="358"/>
      <c r="C21" s="750" t="s">
        <v>247</v>
      </c>
      <c r="D21" s="523">
        <f>D8+D15+D18</f>
        <v>21296.921000000002</v>
      </c>
      <c r="E21" s="523">
        <f>E8+E15+E18</f>
        <v>21958.97</v>
      </c>
      <c r="F21" s="523">
        <v>22900.5</v>
      </c>
      <c r="G21" s="523">
        <f>G8+G15+G18</f>
        <v>22452.403000000002</v>
      </c>
      <c r="H21" s="1209">
        <f>H8+H15+H18</f>
        <v>22686.9</v>
      </c>
      <c r="I21" s="816"/>
    </row>
    <row r="22" spans="1:10" s="355" customFormat="1" ht="21" customHeight="1">
      <c r="A22" s="354"/>
      <c r="C22" s="449"/>
      <c r="D22" s="360"/>
      <c r="E22" s="360"/>
      <c r="F22" s="360"/>
      <c r="G22" s="1285"/>
      <c r="H22" s="360"/>
      <c r="I22" s="360"/>
    </row>
    <row r="23" spans="1:10" s="359" customFormat="1" ht="21" customHeight="1" thickBot="1">
      <c r="A23" s="358"/>
      <c r="C23" s="750" t="s">
        <v>248</v>
      </c>
      <c r="D23" s="523">
        <v>155773.17000000001</v>
      </c>
      <c r="E23" s="523">
        <v>153483.228</v>
      </c>
      <c r="F23" s="523">
        <v>149728.1</v>
      </c>
      <c r="G23" s="1284">
        <v>148959.6</v>
      </c>
      <c r="H23" s="1209">
        <v>148839.5</v>
      </c>
      <c r="I23" s="948"/>
    </row>
    <row r="24" spans="1:10" s="359" customFormat="1" ht="21" customHeight="1">
      <c r="A24" s="358"/>
      <c r="C24" s="449"/>
      <c r="D24" s="410"/>
      <c r="E24" s="410"/>
      <c r="F24" s="1084"/>
      <c r="G24" s="1286"/>
      <c r="H24" s="949"/>
      <c r="I24" s="950"/>
      <c r="J24" s="361"/>
    </row>
    <row r="25" spans="1:10" s="359" customFormat="1" ht="27" customHeight="1">
      <c r="A25" s="358"/>
      <c r="C25" s="749" t="s">
        <v>353</v>
      </c>
      <c r="D25" s="1210">
        <f>D8/D23*100</f>
        <v>8.8033484842094438</v>
      </c>
      <c r="E25" s="1210">
        <f>E8/E23*100</f>
        <v>9.0763467653938061</v>
      </c>
      <c r="F25" s="1210">
        <f>F8/F23*100</f>
        <v>10.495691857440253</v>
      </c>
      <c r="G25" s="1287">
        <f>G8/G23*100</f>
        <v>10.794136799508054</v>
      </c>
      <c r="H25" s="1211">
        <f>H8/H23*100</f>
        <v>10.890590199510211</v>
      </c>
      <c r="I25" s="1212">
        <v>11.9</v>
      </c>
      <c r="J25" s="285" t="s">
        <v>14</v>
      </c>
    </row>
    <row r="26" spans="1:10" s="359" customFormat="1" ht="27" customHeight="1">
      <c r="A26" s="358"/>
      <c r="C26" s="751" t="s">
        <v>249</v>
      </c>
      <c r="D26" s="1213">
        <f>D7/D23*100</f>
        <v>10.54805522671202</v>
      </c>
      <c r="E26" s="1213">
        <f>E7/E23*100</f>
        <v>11.204136259109692</v>
      </c>
      <c r="F26" s="1213">
        <f>F7/F23*100</f>
        <v>12.683321300410544</v>
      </c>
      <c r="G26" s="1288">
        <f>G7/G23*100</f>
        <v>12.78871855187581</v>
      </c>
      <c r="H26" s="1214">
        <f>H7/H23*100</f>
        <v>12.936216528542491</v>
      </c>
      <c r="I26" s="1215">
        <v>14.2</v>
      </c>
      <c r="J26" s="285" t="s">
        <v>14</v>
      </c>
    </row>
    <row r="27" spans="1:10" s="359" customFormat="1" ht="27" customHeight="1" thickBot="1">
      <c r="A27" s="358"/>
      <c r="C27" s="750" t="s">
        <v>352</v>
      </c>
      <c r="D27" s="1216">
        <f>D21/D23*100</f>
        <v>13.671751688689394</v>
      </c>
      <c r="E27" s="1216">
        <f>E21/E23*100</f>
        <v>14.307081161988592</v>
      </c>
      <c r="F27" s="1216">
        <f>F21/F23*100</f>
        <v>15.294724236799906</v>
      </c>
      <c r="G27" s="1289">
        <f>G21/G23*100</f>
        <v>15.072813702507256</v>
      </c>
      <c r="H27" s="1217">
        <f>H21/H23*100</f>
        <v>15.242526345492966</v>
      </c>
      <c r="I27" s="1218">
        <v>16.7</v>
      </c>
      <c r="J27" s="285" t="s">
        <v>14</v>
      </c>
    </row>
    <row r="28" spans="1:10" s="363" customFormat="1" ht="12">
      <c r="A28" s="362"/>
      <c r="C28" s="339"/>
    </row>
    <row r="29" spans="1:10" ht="12.75" customHeight="1">
      <c r="A29" s="348"/>
      <c r="C29" s="426" t="s">
        <v>391</v>
      </c>
      <c r="D29" s="364"/>
      <c r="E29" s="364"/>
      <c r="F29" s="364"/>
      <c r="G29" s="364"/>
      <c r="H29" s="364"/>
      <c r="I29" s="364"/>
    </row>
    <row r="30" spans="1:10" ht="12.75" customHeight="1">
      <c r="A30" s="348"/>
      <c r="C30" s="426" t="s">
        <v>551</v>
      </c>
      <c r="D30" s="364"/>
      <c r="E30" s="364"/>
      <c r="F30" s="364"/>
      <c r="G30" s="364"/>
      <c r="H30" s="364"/>
      <c r="I30" s="364"/>
    </row>
    <row r="31" spans="1:10" ht="12.75" customHeight="1">
      <c r="A31" s="348"/>
      <c r="C31" s="426" t="s">
        <v>438</v>
      </c>
      <c r="D31" s="364"/>
      <c r="E31" s="364"/>
      <c r="F31" s="364"/>
      <c r="G31" s="364"/>
      <c r="H31" s="364"/>
      <c r="I31" s="364"/>
    </row>
    <row r="32" spans="1:10" ht="12" customHeight="1">
      <c r="A32" s="348"/>
      <c r="D32" s="365"/>
      <c r="E32" s="365"/>
      <c r="F32" s="365"/>
      <c r="G32" s="365"/>
      <c r="H32" s="365"/>
      <c r="I32" s="365"/>
    </row>
    <row r="33" spans="1:9">
      <c r="A33" s="348"/>
    </row>
    <row r="34" spans="1:9" ht="18.75">
      <c r="A34" s="348"/>
      <c r="C34" s="365"/>
      <c r="D34" s="365"/>
      <c r="E34" s="365"/>
      <c r="F34" s="365"/>
      <c r="G34" s="365"/>
      <c r="H34" s="365"/>
      <c r="I34" s="365"/>
    </row>
    <row r="35" spans="1:9">
      <c r="A35" s="348"/>
    </row>
    <row r="36" spans="1:9">
      <c r="A36" s="348"/>
    </row>
    <row r="37" spans="1:9">
      <c r="A37" s="348"/>
    </row>
    <row r="38" spans="1:9" ht="18.75">
      <c r="A38" s="348"/>
      <c r="C38" s="365"/>
      <c r="D38" s="365"/>
      <c r="E38" s="365"/>
      <c r="F38" s="365"/>
      <c r="G38" s="365"/>
      <c r="H38" s="365"/>
      <c r="I38" s="365"/>
    </row>
    <row r="39" spans="1:9">
      <c r="A39" s="348"/>
    </row>
    <row r="40" spans="1:9">
      <c r="A40" s="348"/>
    </row>
    <row r="41" spans="1:9">
      <c r="A41" s="348"/>
    </row>
    <row r="42" spans="1:9" ht="18.75">
      <c r="A42" s="348"/>
      <c r="C42" s="366"/>
      <c r="D42" s="366"/>
      <c r="E42" s="366"/>
      <c r="F42" s="366"/>
      <c r="G42" s="366"/>
      <c r="H42" s="366"/>
      <c r="I42" s="366"/>
    </row>
    <row r="43" spans="1:9">
      <c r="A43" s="348"/>
    </row>
    <row r="44" spans="1:9">
      <c r="A44" s="348"/>
    </row>
    <row r="45" spans="1:9">
      <c r="A45" s="348"/>
    </row>
    <row r="46" spans="1:9">
      <c r="A46" s="348"/>
      <c r="C46" s="367"/>
    </row>
    <row r="47" spans="1:9">
      <c r="A47" s="348"/>
    </row>
    <row r="50" spans="3:9" ht="14.25">
      <c r="C50" s="342"/>
      <c r="D50" s="368"/>
      <c r="E50" s="368"/>
      <c r="F50" s="368"/>
      <c r="G50" s="368"/>
      <c r="H50" s="368"/>
      <c r="I50" s="368"/>
    </row>
    <row r="51" spans="3:9" ht="14.25">
      <c r="C51" s="342"/>
      <c r="D51" s="369"/>
      <c r="E51" s="369"/>
      <c r="F51" s="369"/>
      <c r="G51" s="369"/>
      <c r="H51" s="369"/>
      <c r="I51" s="369"/>
    </row>
    <row r="52" spans="3:9">
      <c r="C52" s="342"/>
      <c r="D52" s="370"/>
      <c r="E52" s="370"/>
      <c r="F52" s="370"/>
      <c r="G52" s="370"/>
      <c r="H52" s="370"/>
      <c r="I52" s="370"/>
    </row>
  </sheetData>
  <mergeCells count="6">
    <mergeCell ref="D4:D5"/>
    <mergeCell ref="F4:F5"/>
    <mergeCell ref="I4:I5"/>
    <mergeCell ref="H4:H5"/>
    <mergeCell ref="G4:G5"/>
    <mergeCell ref="E4:E5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zoomScale="80" zoomScaleNormal="70" zoomScaleSheetLayoutView="80" workbookViewId="0">
      <selection activeCell="C32" sqref="C32:C33"/>
    </sheetView>
  </sheetViews>
  <sheetFormatPr defaultRowHeight="18"/>
  <cols>
    <col min="1" max="1" width="18.7109375" style="342" customWidth="1"/>
    <col min="2" max="2" width="4.5703125" style="342" customWidth="1"/>
    <col min="3" max="3" width="27" style="349" customWidth="1"/>
    <col min="4" max="5" width="18.5703125" style="349" customWidth="1"/>
    <col min="6" max="6" width="5.42578125" style="349" customWidth="1"/>
    <col min="7" max="7" width="31.28515625" style="349" customWidth="1"/>
    <col min="8" max="10" width="22.140625" style="349" customWidth="1"/>
    <col min="11" max="11" width="19" style="349" customWidth="1"/>
    <col min="12" max="16384" width="9.140625" style="342"/>
  </cols>
  <sheetData>
    <row r="1" spans="1:12" ht="30.75" customHeight="1">
      <c r="A1" s="814"/>
      <c r="B1" s="450"/>
      <c r="C1" s="627" t="s">
        <v>389</v>
      </c>
      <c r="D1" s="333"/>
      <c r="E1" s="333"/>
      <c r="F1" s="333"/>
      <c r="G1" s="333"/>
      <c r="H1" s="333"/>
      <c r="I1" s="333"/>
      <c r="J1" s="333"/>
      <c r="K1" s="333"/>
    </row>
    <row r="2" spans="1:12" ht="7.5" customHeight="1">
      <c r="A2" s="343"/>
      <c r="B2" s="344"/>
      <c r="C2" s="347"/>
      <c r="D2" s="347"/>
      <c r="E2" s="347"/>
      <c r="F2" s="347"/>
      <c r="G2" s="347"/>
      <c r="H2" s="347"/>
      <c r="I2" s="347"/>
      <c r="J2" s="347"/>
      <c r="K2" s="347"/>
    </row>
    <row r="3" spans="1:12" ht="27" customHeight="1">
      <c r="A3" s="346"/>
      <c r="B3" s="344"/>
      <c r="C3" s="169"/>
      <c r="D3" s="347"/>
      <c r="E3" s="347"/>
      <c r="F3" s="347"/>
      <c r="G3" s="169"/>
      <c r="H3" s="347"/>
      <c r="I3" s="347"/>
      <c r="J3" s="347"/>
      <c r="K3" s="347"/>
    </row>
    <row r="4" spans="1:12" ht="27" customHeight="1">
      <c r="A4" s="346"/>
      <c r="B4" s="344"/>
      <c r="C4" s="804" t="s">
        <v>412</v>
      </c>
      <c r="D4" s="347"/>
      <c r="E4" s="347"/>
      <c r="F4" s="347"/>
      <c r="G4" s="37" t="s">
        <v>413</v>
      </c>
      <c r="H4" s="347"/>
      <c r="I4" s="347"/>
      <c r="J4" s="347"/>
      <c r="K4" s="347"/>
    </row>
    <row r="5" spans="1:12" s="344" customFormat="1" ht="17.25" customHeight="1">
      <c r="A5" s="343"/>
      <c r="C5" s="402"/>
      <c r="D5" s="1456"/>
      <c r="E5" s="1456"/>
      <c r="F5" s="1456"/>
      <c r="G5" s="402"/>
      <c r="H5" s="1456"/>
      <c r="I5" s="1456"/>
      <c r="J5" s="409"/>
      <c r="K5" s="409"/>
      <c r="L5" s="451"/>
    </row>
    <row r="6" spans="1:12" s="352" customFormat="1" ht="17.25" customHeight="1">
      <c r="A6" s="351"/>
      <c r="C6" s="448" t="s">
        <v>250</v>
      </c>
      <c r="D6" s="371" t="s">
        <v>498</v>
      </c>
      <c r="E6" s="371" t="s">
        <v>502</v>
      </c>
      <c r="F6" s="1456"/>
      <c r="G6" s="448" t="s">
        <v>250</v>
      </c>
      <c r="H6" s="371" t="s">
        <v>495</v>
      </c>
      <c r="I6" s="371" t="s">
        <v>498</v>
      </c>
      <c r="J6" s="371" t="s">
        <v>502</v>
      </c>
      <c r="K6" s="411"/>
    </row>
    <row r="7" spans="1:12" s="355" customFormat="1" ht="20.25" customHeight="1">
      <c r="A7" s="354"/>
      <c r="C7" s="731" t="s">
        <v>259</v>
      </c>
      <c r="D7" s="357">
        <v>350690</v>
      </c>
      <c r="E7" s="357">
        <v>391696</v>
      </c>
      <c r="F7" s="410"/>
      <c r="G7" s="736" t="s">
        <v>73</v>
      </c>
      <c r="H7" s="522">
        <v>143673</v>
      </c>
      <c r="I7" s="522">
        <v>38875</v>
      </c>
      <c r="J7" s="522">
        <v>46261</v>
      </c>
      <c r="K7" s="410"/>
    </row>
    <row r="8" spans="1:12" s="355" customFormat="1" ht="20.25" customHeight="1">
      <c r="A8" s="354"/>
      <c r="C8" s="731" t="s">
        <v>260</v>
      </c>
      <c r="D8" s="357">
        <v>0</v>
      </c>
      <c r="E8" s="357">
        <v>0</v>
      </c>
      <c r="F8" s="410"/>
      <c r="G8" s="737" t="s">
        <v>280</v>
      </c>
      <c r="H8" s="519">
        <v>428096</v>
      </c>
      <c r="I8" s="519">
        <v>110127</v>
      </c>
      <c r="J8" s="519">
        <v>113709</v>
      </c>
      <c r="K8" s="410"/>
    </row>
    <row r="9" spans="1:12" s="355" customFormat="1" ht="20.25" customHeight="1">
      <c r="A9" s="354"/>
      <c r="C9" s="731" t="s">
        <v>261</v>
      </c>
      <c r="D9" s="357">
        <v>82904</v>
      </c>
      <c r="E9" s="357">
        <v>84156</v>
      </c>
      <c r="F9" s="410"/>
      <c r="G9" s="737" t="s">
        <v>281</v>
      </c>
      <c r="H9" s="520">
        <v>556681</v>
      </c>
      <c r="I9" s="520">
        <v>142436</v>
      </c>
      <c r="J9" s="520">
        <v>146947</v>
      </c>
      <c r="K9" s="410"/>
      <c r="L9" s="452"/>
    </row>
    <row r="10" spans="1:12" s="355" customFormat="1" ht="20.25" customHeight="1">
      <c r="A10" s="354"/>
      <c r="C10" s="731" t="s">
        <v>262</v>
      </c>
      <c r="D10" s="357">
        <v>7190250</v>
      </c>
      <c r="E10" s="357">
        <v>7488289</v>
      </c>
      <c r="F10" s="410"/>
      <c r="G10" s="738" t="s">
        <v>496</v>
      </c>
      <c r="H10" s="520">
        <v>128586</v>
      </c>
      <c r="I10" s="520">
        <v>32309</v>
      </c>
      <c r="J10" s="520">
        <v>33238</v>
      </c>
      <c r="K10" s="410"/>
    </row>
    <row r="11" spans="1:12" s="355" customFormat="1" ht="20.25" customHeight="1">
      <c r="A11" s="354"/>
      <c r="C11" s="731" t="s">
        <v>263</v>
      </c>
      <c r="D11" s="357">
        <v>18574</v>
      </c>
      <c r="E11" s="357">
        <v>22441</v>
      </c>
      <c r="F11" s="410"/>
      <c r="G11" s="737" t="s">
        <v>282</v>
      </c>
      <c r="H11" s="519">
        <v>47430</v>
      </c>
      <c r="I11" s="519">
        <v>7201</v>
      </c>
      <c r="J11" s="519">
        <v>20455</v>
      </c>
      <c r="K11" s="410"/>
    </row>
    <row r="12" spans="1:12" s="355" customFormat="1" ht="20.25" customHeight="1">
      <c r="A12" s="354"/>
      <c r="C12" s="731" t="s">
        <v>264</v>
      </c>
      <c r="D12" s="357">
        <v>27464</v>
      </c>
      <c r="E12" s="357">
        <v>30061</v>
      </c>
      <c r="F12" s="410"/>
      <c r="G12" s="738" t="s">
        <v>283</v>
      </c>
      <c r="H12" s="520">
        <v>953393</v>
      </c>
      <c r="I12" s="520">
        <v>257611</v>
      </c>
      <c r="J12" s="520">
        <v>271476</v>
      </c>
      <c r="K12" s="410"/>
    </row>
    <row r="13" spans="1:12" s="355" customFormat="1" ht="20.25" customHeight="1">
      <c r="A13" s="354"/>
      <c r="C13" s="731" t="s">
        <v>265</v>
      </c>
      <c r="D13" s="357">
        <v>7330</v>
      </c>
      <c r="E13" s="357">
        <v>7084</v>
      </c>
      <c r="F13" s="410"/>
      <c r="G13" s="738" t="s">
        <v>284</v>
      </c>
      <c r="H13" s="520">
        <v>905963</v>
      </c>
      <c r="I13" s="520">
        <v>250410</v>
      </c>
      <c r="J13" s="520">
        <v>251021</v>
      </c>
      <c r="K13" s="410"/>
    </row>
    <row r="14" spans="1:12" s="355" customFormat="1" ht="20.25" customHeight="1">
      <c r="A14" s="354"/>
      <c r="C14" s="731" t="s">
        <v>266</v>
      </c>
      <c r="D14" s="357">
        <v>29184</v>
      </c>
      <c r="E14" s="357">
        <v>27032</v>
      </c>
      <c r="F14" s="410"/>
      <c r="G14" s="737" t="s">
        <v>285</v>
      </c>
      <c r="H14" s="520">
        <v>12485</v>
      </c>
      <c r="I14" s="520">
        <v>8601</v>
      </c>
      <c r="J14" s="520">
        <v>0</v>
      </c>
      <c r="K14" s="410"/>
    </row>
    <row r="15" spans="1:12" s="359" customFormat="1" ht="20.25" customHeight="1">
      <c r="A15" s="358"/>
      <c r="C15" s="732" t="s">
        <v>267</v>
      </c>
      <c r="D15" s="356">
        <v>7706396</v>
      </c>
      <c r="E15" s="356">
        <v>8050873</v>
      </c>
      <c r="F15" s="410"/>
      <c r="G15" s="737" t="s">
        <v>286</v>
      </c>
      <c r="H15" s="520">
        <v>880</v>
      </c>
      <c r="I15" s="520">
        <v>0</v>
      </c>
      <c r="J15" s="520">
        <v>0</v>
      </c>
      <c r="K15" s="410"/>
    </row>
    <row r="16" spans="1:12" s="359" customFormat="1" ht="20.25" customHeight="1">
      <c r="A16" s="358"/>
      <c r="C16" s="733" t="s">
        <v>268</v>
      </c>
      <c r="D16" s="357">
        <v>0</v>
      </c>
      <c r="E16" s="357">
        <v>15000</v>
      </c>
      <c r="F16" s="410"/>
      <c r="G16" s="737" t="s">
        <v>287</v>
      </c>
      <c r="H16" s="520">
        <v>321</v>
      </c>
      <c r="I16" s="520">
        <v>255</v>
      </c>
      <c r="J16" s="520">
        <v>-3</v>
      </c>
      <c r="K16" s="410"/>
    </row>
    <row r="17" spans="1:11" s="355" customFormat="1" ht="20.25" customHeight="1">
      <c r="A17" s="354"/>
      <c r="C17" s="733" t="s">
        <v>269</v>
      </c>
      <c r="D17" s="357">
        <v>5374548</v>
      </c>
      <c r="E17" s="357">
        <v>5678441</v>
      </c>
      <c r="F17" s="410"/>
      <c r="G17" s="737" t="s">
        <v>288</v>
      </c>
      <c r="H17" s="520">
        <v>0</v>
      </c>
      <c r="I17" s="520">
        <v>0</v>
      </c>
      <c r="J17" s="520">
        <v>0</v>
      </c>
      <c r="K17" s="410"/>
    </row>
    <row r="18" spans="1:11" s="355" customFormat="1" ht="20.25" customHeight="1">
      <c r="A18" s="354"/>
      <c r="C18" s="733" t="s">
        <v>270</v>
      </c>
      <c r="D18" s="357">
        <v>42607</v>
      </c>
      <c r="E18" s="357">
        <v>41965</v>
      </c>
      <c r="F18" s="410"/>
      <c r="G18" s="737" t="s">
        <v>289</v>
      </c>
      <c r="H18" s="520">
        <v>-208303</v>
      </c>
      <c r="I18" s="520">
        <v>-44446</v>
      </c>
      <c r="J18" s="520">
        <v>-54696</v>
      </c>
      <c r="K18" s="410"/>
    </row>
    <row r="19" spans="1:11" s="355" customFormat="1" ht="20.25" customHeight="1">
      <c r="A19" s="354"/>
      <c r="C19" s="733" t="s">
        <v>271</v>
      </c>
      <c r="D19" s="357">
        <v>667811</v>
      </c>
      <c r="E19" s="357">
        <v>568824</v>
      </c>
      <c r="F19" s="410"/>
      <c r="G19" s="737" t="s">
        <v>290</v>
      </c>
      <c r="H19" s="520">
        <v>-137236</v>
      </c>
      <c r="I19" s="520">
        <v>-42864</v>
      </c>
      <c r="J19" s="520">
        <v>-33204</v>
      </c>
      <c r="K19" s="410"/>
    </row>
    <row r="20" spans="1:11" s="359" customFormat="1" ht="20.25" customHeight="1">
      <c r="A20" s="358"/>
      <c r="C20" s="733" t="s">
        <v>272</v>
      </c>
      <c r="D20" s="357">
        <f>+D21-SUM(D16:D19)</f>
        <v>167801</v>
      </c>
      <c r="E20" s="357">
        <f>+E21-SUM(E16:E19)</f>
        <v>159603</v>
      </c>
      <c r="F20" s="410"/>
      <c r="G20" s="737" t="s">
        <v>346</v>
      </c>
      <c r="H20" s="520">
        <v>-148001</v>
      </c>
      <c r="I20" s="520">
        <v>-39123</v>
      </c>
      <c r="J20" s="520">
        <v>-38786</v>
      </c>
      <c r="K20" s="410"/>
    </row>
    <row r="21" spans="1:11" s="355" customFormat="1" ht="20.25" customHeight="1">
      <c r="A21" s="354"/>
      <c r="C21" s="732" t="s">
        <v>273</v>
      </c>
      <c r="D21" s="356">
        <v>6252767</v>
      </c>
      <c r="E21" s="356">
        <v>6463833</v>
      </c>
      <c r="F21" s="410"/>
      <c r="G21" s="739" t="s">
        <v>68</v>
      </c>
      <c r="H21" s="522">
        <v>-1504</v>
      </c>
      <c r="I21" s="522">
        <v>-158</v>
      </c>
      <c r="J21" s="522">
        <v>-3297</v>
      </c>
      <c r="K21" s="410"/>
    </row>
    <row r="22" spans="1:11" s="355" customFormat="1" ht="20.25" customHeight="1">
      <c r="A22" s="354"/>
      <c r="C22" s="733" t="s">
        <v>274</v>
      </c>
      <c r="D22" s="357">
        <v>846331</v>
      </c>
      <c r="E22" s="357">
        <v>896331</v>
      </c>
      <c r="F22" s="410"/>
      <c r="G22" s="740" t="s">
        <v>291</v>
      </c>
      <c r="H22" s="519">
        <v>0</v>
      </c>
      <c r="I22" s="519">
        <v>0</v>
      </c>
      <c r="J22" s="519">
        <v>0</v>
      </c>
      <c r="K22" s="410"/>
    </row>
    <row r="23" spans="1:11" s="359" customFormat="1" ht="20.25" customHeight="1">
      <c r="A23" s="358"/>
      <c r="C23" s="733" t="s">
        <v>275</v>
      </c>
      <c r="D23" s="357">
        <v>77345</v>
      </c>
      <c r="E23" s="357">
        <v>127097</v>
      </c>
      <c r="F23" s="410"/>
      <c r="G23" s="741" t="s">
        <v>292</v>
      </c>
      <c r="H23" s="519">
        <v>-1504</v>
      </c>
      <c r="I23" s="519">
        <v>-158</v>
      </c>
      <c r="J23" s="519">
        <v>-3297</v>
      </c>
      <c r="K23" s="410"/>
    </row>
    <row r="24" spans="1:11" s="355" customFormat="1" ht="20.25" customHeight="1">
      <c r="A24" s="354"/>
      <c r="C24" s="733" t="s">
        <v>276</v>
      </c>
      <c r="D24" s="357">
        <v>25561</v>
      </c>
      <c r="E24" s="357">
        <v>26578</v>
      </c>
      <c r="F24" s="410"/>
      <c r="G24" s="742" t="s">
        <v>293</v>
      </c>
      <c r="H24" s="522">
        <v>142169</v>
      </c>
      <c r="I24" s="522">
        <v>38716</v>
      </c>
      <c r="J24" s="522">
        <v>42964</v>
      </c>
      <c r="K24" s="410"/>
    </row>
    <row r="25" spans="1:11" s="359" customFormat="1" ht="20.25" customHeight="1">
      <c r="A25" s="358"/>
      <c r="C25" s="733" t="s">
        <v>277</v>
      </c>
      <c r="D25" s="372">
        <v>504392</v>
      </c>
      <c r="E25" s="372">
        <v>537034</v>
      </c>
      <c r="F25" s="410"/>
      <c r="G25" s="737" t="s">
        <v>294</v>
      </c>
      <c r="H25" s="519">
        <v>-32774</v>
      </c>
      <c r="I25" s="519">
        <v>-9429</v>
      </c>
      <c r="J25" s="519">
        <v>-10322</v>
      </c>
      <c r="K25" s="410"/>
    </row>
    <row r="26" spans="1:11" s="359" customFormat="1" ht="20.25" customHeight="1">
      <c r="A26" s="358"/>
      <c r="C26" s="734" t="s">
        <v>278</v>
      </c>
      <c r="D26" s="403">
        <v>1453630</v>
      </c>
      <c r="E26" s="403">
        <v>1587040</v>
      </c>
      <c r="F26" s="410"/>
      <c r="G26" s="1462" t="s">
        <v>74</v>
      </c>
      <c r="H26" s="1464">
        <v>109395</v>
      </c>
      <c r="I26" s="1457">
        <v>29288</v>
      </c>
      <c r="J26" s="1457">
        <v>32642</v>
      </c>
      <c r="K26" s="410"/>
    </row>
    <row r="27" spans="1:11" s="359" customFormat="1" ht="20.25" customHeight="1" thickBot="1">
      <c r="A27" s="358"/>
      <c r="C27" s="735" t="s">
        <v>279</v>
      </c>
      <c r="D27" s="776">
        <v>7706396</v>
      </c>
      <c r="E27" s="776">
        <v>8050873</v>
      </c>
      <c r="F27" s="410"/>
      <c r="G27" s="1463"/>
      <c r="H27" s="1465"/>
      <c r="I27" s="1458"/>
      <c r="J27" s="1458"/>
      <c r="K27" s="410"/>
    </row>
    <row r="28" spans="1:11" s="359" customFormat="1" ht="5.25" customHeight="1">
      <c r="A28" s="358"/>
      <c r="C28" s="453"/>
      <c r="D28" s="373"/>
      <c r="E28" s="373"/>
      <c r="F28" s="373"/>
      <c r="G28" s="517"/>
      <c r="H28" s="373"/>
      <c r="I28" s="373"/>
      <c r="J28" s="373"/>
      <c r="K28" s="373"/>
    </row>
    <row r="29" spans="1:11" s="359" customFormat="1" ht="17.25" customHeight="1">
      <c r="A29" s="358"/>
      <c r="C29" s="453"/>
      <c r="D29" s="373"/>
      <c r="E29" s="373"/>
      <c r="F29" s="373"/>
      <c r="G29" s="429"/>
      <c r="H29" s="373"/>
      <c r="I29" s="373"/>
      <c r="J29" s="373"/>
      <c r="K29" s="373"/>
    </row>
    <row r="30" spans="1:11" s="359" customFormat="1" ht="27.75" customHeight="1">
      <c r="A30" s="358"/>
      <c r="C30" s="804" t="s">
        <v>503</v>
      </c>
      <c r="D30" s="373"/>
      <c r="E30" s="373"/>
      <c r="F30" s="373"/>
      <c r="H30" s="373"/>
      <c r="I30" s="373"/>
      <c r="J30" s="373"/>
      <c r="K30" s="373"/>
    </row>
    <row r="31" spans="1:11" s="377" customFormat="1" ht="17.25" customHeight="1">
      <c r="A31" s="400"/>
      <c r="C31" s="448" t="s">
        <v>250</v>
      </c>
      <c r="D31" s="405" t="s">
        <v>256</v>
      </c>
      <c r="E31" s="404" t="s">
        <v>251</v>
      </c>
      <c r="F31" s="406"/>
      <c r="G31" s="448" t="s">
        <v>250</v>
      </c>
      <c r="H31" s="404" t="s">
        <v>255</v>
      </c>
      <c r="I31" s="406"/>
      <c r="J31" s="406"/>
      <c r="K31" s="406"/>
    </row>
    <row r="32" spans="1:11" s="377" customFormat="1" ht="17.25" customHeight="1">
      <c r="A32" s="376"/>
      <c r="C32" s="899" t="s">
        <v>257</v>
      </c>
      <c r="D32" s="1348">
        <v>4020840</v>
      </c>
      <c r="E32" s="1459">
        <v>12953.81</v>
      </c>
      <c r="F32" s="407"/>
      <c r="G32" s="743" t="s">
        <v>252</v>
      </c>
      <c r="H32" s="1345">
        <v>10422119</v>
      </c>
      <c r="I32" s="407"/>
      <c r="J32" s="407"/>
      <c r="K32" s="407"/>
    </row>
    <row r="33" spans="1:11" s="377" customFormat="1" ht="17.25" customHeight="1">
      <c r="A33" s="376"/>
      <c r="C33" s="900" t="s">
        <v>254</v>
      </c>
      <c r="D33" s="1349">
        <v>578491</v>
      </c>
      <c r="E33" s="1460"/>
      <c r="F33" s="407"/>
      <c r="G33" s="744" t="s">
        <v>253</v>
      </c>
      <c r="H33" s="1346">
        <v>1669493</v>
      </c>
      <c r="I33" s="407"/>
      <c r="J33" s="407"/>
      <c r="K33" s="407"/>
    </row>
    <row r="34" spans="1:11" s="375" customFormat="1" ht="17.25" customHeight="1" thickBot="1">
      <c r="A34" s="374"/>
      <c r="C34" s="901" t="s">
        <v>258</v>
      </c>
      <c r="D34" s="1350">
        <v>2157631</v>
      </c>
      <c r="E34" s="1461"/>
      <c r="F34" s="408"/>
      <c r="G34" s="745" t="s">
        <v>254</v>
      </c>
      <c r="H34" s="1347">
        <v>1170390</v>
      </c>
      <c r="I34" s="408"/>
      <c r="J34" s="408"/>
      <c r="K34" s="408"/>
    </row>
    <row r="35" spans="1:11" s="377" customFormat="1" ht="4.5" customHeight="1" thickTop="1">
      <c r="A35" s="376"/>
      <c r="C35" s="454"/>
      <c r="D35" s="454"/>
      <c r="E35" s="454"/>
      <c r="F35" s="454"/>
      <c r="G35" s="454"/>
      <c r="H35" s="454"/>
      <c r="I35" s="454"/>
      <c r="J35" s="454"/>
      <c r="K35" s="454"/>
    </row>
    <row r="36" spans="1:11" s="363" customFormat="1" ht="17.25" customHeight="1">
      <c r="A36" s="362"/>
      <c r="C36" s="518"/>
      <c r="D36" s="401"/>
      <c r="E36" s="401"/>
      <c r="F36" s="401"/>
      <c r="G36" s="518"/>
      <c r="H36" s="401"/>
      <c r="I36" s="401"/>
      <c r="J36" s="401"/>
      <c r="K36" s="401"/>
    </row>
    <row r="37" spans="1:11" ht="18.75" hidden="1" customHeight="1">
      <c r="A37" s="348"/>
      <c r="C37" s="455" t="s">
        <v>15</v>
      </c>
      <c r="D37" s="455"/>
      <c r="E37" s="455"/>
      <c r="F37" s="455"/>
      <c r="G37" s="455" t="s">
        <v>15</v>
      </c>
      <c r="H37" s="455"/>
      <c r="I37" s="455"/>
      <c r="J37" s="455"/>
      <c r="K37" s="455"/>
    </row>
    <row r="38" spans="1:11" ht="18.75" hidden="1" customHeight="1">
      <c r="A38" s="348"/>
      <c r="C38" s="455" t="s">
        <v>16</v>
      </c>
      <c r="D38" s="455"/>
      <c r="E38" s="455"/>
      <c r="F38" s="455"/>
      <c r="G38" s="455" t="s">
        <v>16</v>
      </c>
      <c r="H38" s="455"/>
      <c r="I38" s="455"/>
      <c r="J38" s="455"/>
      <c r="K38" s="455"/>
    </row>
    <row r="39" spans="1:11" ht="18.75" hidden="1" customHeight="1">
      <c r="A39" s="348"/>
      <c r="C39" s="349" t="s">
        <v>17</v>
      </c>
      <c r="G39" s="349" t="s">
        <v>17</v>
      </c>
    </row>
    <row r="40" spans="1:11">
      <c r="A40" s="348"/>
    </row>
  </sheetData>
  <mergeCells count="8">
    <mergeCell ref="J26:J27"/>
    <mergeCell ref="E32:E34"/>
    <mergeCell ref="H5:I5"/>
    <mergeCell ref="D5:E5"/>
    <mergeCell ref="F5:F6"/>
    <mergeCell ref="G26:G27"/>
    <mergeCell ref="I26:I27"/>
    <mergeCell ref="H26:H2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r:id="rId1"/>
  <headerFooter>
    <oddHeader>&amp;R&amp;"Trebuchet MS,보통"&amp;12
www.wooribank.com</oddHeader>
    <oddFooter xml:space="preserve">&amp;R&amp;"Trebuchet MS,보통"Page  20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80" zoomScaleNormal="90" zoomScaleSheetLayoutView="80" workbookViewId="0">
      <selection activeCell="C32" sqref="C32:C33"/>
    </sheetView>
  </sheetViews>
  <sheetFormatPr defaultRowHeight="20.25"/>
  <cols>
    <col min="1" max="1" width="18.28515625" style="380" customWidth="1"/>
    <col min="2" max="2" width="1.5703125" style="380" customWidth="1"/>
    <col min="3" max="3" width="21.140625" style="380" customWidth="1"/>
    <col min="4" max="4" width="8.42578125" style="380" customWidth="1"/>
    <col min="5" max="6" width="8" style="380" customWidth="1"/>
    <col min="7" max="7" width="9.140625" style="380" customWidth="1"/>
    <col min="8" max="9" width="8" style="380" customWidth="1"/>
    <col min="10" max="10" width="8.28515625" style="380" customWidth="1"/>
    <col min="11" max="11" width="8" style="380" customWidth="1"/>
    <col min="12" max="17" width="8.140625" style="380" customWidth="1"/>
    <col min="18" max="18" width="9.28515625" style="380" customWidth="1"/>
    <col min="19" max="21" width="15.7109375" style="380" customWidth="1"/>
    <col min="22" max="16384" width="9.140625" style="380"/>
  </cols>
  <sheetData>
    <row r="1" spans="1:19" ht="30" customHeight="1">
      <c r="A1" s="810"/>
      <c r="B1" s="378"/>
      <c r="C1" s="1405" t="s">
        <v>372</v>
      </c>
      <c r="D1" s="1405"/>
      <c r="E1" s="1405"/>
      <c r="F1" s="1405"/>
      <c r="G1" s="1405"/>
      <c r="H1" s="1405"/>
      <c r="I1" s="1405"/>
      <c r="J1" s="97"/>
      <c r="K1" s="97"/>
      <c r="L1" s="383"/>
      <c r="M1" s="383"/>
      <c r="N1" s="383"/>
      <c r="O1" s="383"/>
      <c r="P1" s="383"/>
      <c r="Q1" s="383"/>
      <c r="R1" s="378"/>
      <c r="S1" s="379"/>
    </row>
    <row r="2" spans="1:19">
      <c r="A2" s="381"/>
      <c r="R2" s="379"/>
      <c r="S2" s="379"/>
    </row>
    <row r="3" spans="1:19">
      <c r="A3" s="381"/>
      <c r="R3" s="379"/>
      <c r="S3" s="379"/>
    </row>
    <row r="4" spans="1:19" s="12" customFormat="1" ht="12">
      <c r="A4" s="384"/>
      <c r="C4" s="805" t="s">
        <v>414</v>
      </c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s="385" customFormat="1" ht="12">
      <c r="A5" s="384"/>
    </row>
    <row r="6" spans="1:19" s="385" customFormat="1" ht="27" customHeight="1">
      <c r="A6" s="384"/>
      <c r="D6" s="1469" t="s">
        <v>469</v>
      </c>
      <c r="E6" s="1470"/>
      <c r="F6" s="1469" t="s">
        <v>471</v>
      </c>
      <c r="G6" s="1470"/>
      <c r="H6" s="1469" t="s">
        <v>486</v>
      </c>
      <c r="I6" s="1470"/>
      <c r="J6" s="1469" t="s">
        <v>490</v>
      </c>
      <c r="K6" s="1470"/>
      <c r="L6" s="1469" t="s">
        <v>492</v>
      </c>
      <c r="M6" s="1470"/>
      <c r="N6" s="1471" t="s">
        <v>498</v>
      </c>
      <c r="O6" s="1472"/>
      <c r="P6" s="1471" t="s">
        <v>502</v>
      </c>
      <c r="Q6" s="1472"/>
      <c r="R6" s="826"/>
    </row>
    <row r="7" spans="1:19" s="385" customFormat="1" ht="27" customHeight="1">
      <c r="A7" s="384"/>
      <c r="C7" s="483" t="s">
        <v>295</v>
      </c>
      <c r="D7" s="640" t="s">
        <v>296</v>
      </c>
      <c r="E7" s="641" t="s">
        <v>4</v>
      </c>
      <c r="F7" s="640" t="s">
        <v>296</v>
      </c>
      <c r="G7" s="641" t="s">
        <v>4</v>
      </c>
      <c r="H7" s="640" t="s">
        <v>296</v>
      </c>
      <c r="I7" s="641" t="s">
        <v>4</v>
      </c>
      <c r="J7" s="640" t="s">
        <v>296</v>
      </c>
      <c r="K7" s="641" t="s">
        <v>4</v>
      </c>
      <c r="L7" s="640" t="s">
        <v>296</v>
      </c>
      <c r="M7" s="641" t="s">
        <v>4</v>
      </c>
      <c r="N7" s="640" t="s">
        <v>296</v>
      </c>
      <c r="O7" s="641" t="s">
        <v>4</v>
      </c>
      <c r="P7" s="640" t="s">
        <v>296</v>
      </c>
      <c r="Q7" s="641" t="s">
        <v>4</v>
      </c>
    </row>
    <row r="8" spans="1:19" s="385" customFormat="1" ht="27" customHeight="1">
      <c r="A8" s="384"/>
      <c r="C8" s="673" t="s">
        <v>297</v>
      </c>
      <c r="D8" s="387">
        <f t="shared" ref="D8:O8" si="0">D9+D10+D11+D12+D13</f>
        <v>6105.8789999999999</v>
      </c>
      <c r="E8" s="386">
        <f t="shared" si="0"/>
        <v>145.80500000000001</v>
      </c>
      <c r="F8" s="387">
        <f t="shared" si="0"/>
        <v>6078.7369999999992</v>
      </c>
      <c r="G8" s="386">
        <f t="shared" si="0"/>
        <v>152.6</v>
      </c>
      <c r="H8" s="387">
        <f t="shared" si="0"/>
        <v>6231.25</v>
      </c>
      <c r="I8" s="386">
        <f t="shared" si="0"/>
        <v>128.541</v>
      </c>
      <c r="J8" s="387">
        <f t="shared" si="0"/>
        <v>6430.9969999999994</v>
      </c>
      <c r="K8" s="386">
        <f t="shared" si="0"/>
        <v>148.48299999999998</v>
      </c>
      <c r="L8" s="387">
        <f t="shared" si="0"/>
        <v>6682.3406644420011</v>
      </c>
      <c r="M8" s="386">
        <f t="shared" si="0"/>
        <v>155.36799999999999</v>
      </c>
      <c r="N8" s="387">
        <f t="shared" si="0"/>
        <v>6630.7179999999998</v>
      </c>
      <c r="O8" s="386">
        <f t="shared" si="0"/>
        <v>171.35000000000002</v>
      </c>
      <c r="P8" s="387">
        <f t="shared" ref="P8:Q8" si="1">P9+P10+P11+P12+P13</f>
        <v>6758.9196551189998</v>
      </c>
      <c r="Q8" s="386">
        <f t="shared" si="1"/>
        <v>167.00223</v>
      </c>
    </row>
    <row r="9" spans="1:19" s="385" customFormat="1" ht="27" customHeight="1">
      <c r="A9" s="384"/>
      <c r="C9" s="674" t="s">
        <v>298</v>
      </c>
      <c r="D9" s="389">
        <v>5735.5510000000004</v>
      </c>
      <c r="E9" s="388">
        <v>53.811</v>
      </c>
      <c r="F9" s="389">
        <v>5714.924</v>
      </c>
      <c r="G9" s="388">
        <v>59.088000000000001</v>
      </c>
      <c r="H9" s="389">
        <v>5881.3850000000002</v>
      </c>
      <c r="I9" s="388">
        <v>55.515000000000001</v>
      </c>
      <c r="J9" s="389">
        <v>6038.1549999999997</v>
      </c>
      <c r="K9" s="388">
        <v>55.308</v>
      </c>
      <c r="L9" s="389">
        <v>6303.3756283709999</v>
      </c>
      <c r="M9" s="388">
        <v>66.317999999999998</v>
      </c>
      <c r="N9" s="1143">
        <v>6230.8789999999999</v>
      </c>
      <c r="O9" s="783">
        <v>65.298000000000002</v>
      </c>
      <c r="P9" s="1143">
        <v>6358.7611051659997</v>
      </c>
      <c r="Q9" s="783">
        <v>65.797413000000006</v>
      </c>
    </row>
    <row r="10" spans="1:19" s="385" customFormat="1" ht="27" customHeight="1">
      <c r="A10" s="384"/>
      <c r="C10" s="674" t="s">
        <v>299</v>
      </c>
      <c r="D10" s="389">
        <v>302.12900000000002</v>
      </c>
      <c r="E10" s="388">
        <v>37.478000000000002</v>
      </c>
      <c r="F10" s="389">
        <v>294.56599999999997</v>
      </c>
      <c r="G10" s="388">
        <v>38.770000000000003</v>
      </c>
      <c r="H10" s="389">
        <v>305.52199999999999</v>
      </c>
      <c r="I10" s="388">
        <v>39.219000000000001</v>
      </c>
      <c r="J10" s="389">
        <v>329.08</v>
      </c>
      <c r="K10" s="388">
        <v>43.244</v>
      </c>
      <c r="L10" s="389">
        <v>328.18256892599999</v>
      </c>
      <c r="M10" s="388">
        <v>54.71</v>
      </c>
      <c r="N10" s="1143">
        <v>330.18299999999999</v>
      </c>
      <c r="O10" s="783">
        <v>57.322000000000003</v>
      </c>
      <c r="P10" s="1143">
        <v>339.36560965199999</v>
      </c>
      <c r="Q10" s="783">
        <v>59.627769000000001</v>
      </c>
    </row>
    <row r="11" spans="1:19" s="385" customFormat="1" ht="27" customHeight="1">
      <c r="A11" s="384"/>
      <c r="C11" s="674" t="s">
        <v>300</v>
      </c>
      <c r="D11" s="389">
        <v>0</v>
      </c>
      <c r="E11" s="388">
        <v>0</v>
      </c>
      <c r="F11" s="389">
        <v>0</v>
      </c>
      <c r="G11" s="388">
        <v>0</v>
      </c>
      <c r="H11" s="389">
        <v>0</v>
      </c>
      <c r="I11" s="388">
        <v>0</v>
      </c>
      <c r="J11" s="389">
        <v>0</v>
      </c>
      <c r="K11" s="388">
        <v>0</v>
      </c>
      <c r="L11" s="389">
        <v>0</v>
      </c>
      <c r="M11" s="388">
        <v>0</v>
      </c>
      <c r="N11" s="1143">
        <v>0</v>
      </c>
      <c r="O11" s="783">
        <v>0</v>
      </c>
      <c r="P11" s="1143">
        <v>0</v>
      </c>
      <c r="Q11" s="783">
        <v>0</v>
      </c>
    </row>
    <row r="12" spans="1:19" s="385" customFormat="1" ht="27" customHeight="1">
      <c r="A12" s="384"/>
      <c r="C12" s="674" t="s">
        <v>301</v>
      </c>
      <c r="D12" s="389">
        <v>41.350999999999999</v>
      </c>
      <c r="E12" s="388">
        <v>32.436</v>
      </c>
      <c r="F12" s="389">
        <v>43.883000000000003</v>
      </c>
      <c r="G12" s="388">
        <v>34.177999999999997</v>
      </c>
      <c r="H12" s="389">
        <v>30.527000000000001</v>
      </c>
      <c r="I12" s="388">
        <v>23.003</v>
      </c>
      <c r="J12" s="389">
        <v>46.826000000000001</v>
      </c>
      <c r="K12" s="388">
        <v>36.347999999999999</v>
      </c>
      <c r="L12" s="389">
        <v>31.510898783999998</v>
      </c>
      <c r="M12" s="388">
        <v>20.922000000000001</v>
      </c>
      <c r="N12" s="1143">
        <v>46.107999999999997</v>
      </c>
      <c r="O12" s="783">
        <v>32.081000000000003</v>
      </c>
      <c r="P12" s="1143">
        <v>39.452065408999999</v>
      </c>
      <c r="Q12" s="783">
        <v>26.958742000000001</v>
      </c>
    </row>
    <row r="13" spans="1:19" s="385" customFormat="1" ht="27" customHeight="1" thickBot="1">
      <c r="A13" s="384"/>
      <c r="C13" s="746" t="s">
        <v>302</v>
      </c>
      <c r="D13" s="391">
        <v>26.847999999999999</v>
      </c>
      <c r="E13" s="390">
        <v>22.08</v>
      </c>
      <c r="F13" s="391">
        <v>25.364000000000001</v>
      </c>
      <c r="G13" s="390">
        <v>20.564</v>
      </c>
      <c r="H13" s="391">
        <v>13.816000000000001</v>
      </c>
      <c r="I13" s="390">
        <v>10.804</v>
      </c>
      <c r="J13" s="391">
        <v>16.936</v>
      </c>
      <c r="K13" s="390">
        <v>13.583</v>
      </c>
      <c r="L13" s="391">
        <v>19.271568360999996</v>
      </c>
      <c r="M13" s="390">
        <v>13.417999999999999</v>
      </c>
      <c r="N13" s="1144">
        <v>23.547999999999998</v>
      </c>
      <c r="O13" s="1142">
        <v>16.649000000000001</v>
      </c>
      <c r="P13" s="1144">
        <v>21.340874891999999</v>
      </c>
      <c r="Q13" s="1142">
        <v>14.618306</v>
      </c>
    </row>
    <row r="14" spans="1:19" s="385" customFormat="1" ht="12">
      <c r="A14" s="384"/>
    </row>
    <row r="15" spans="1:19" s="385" customFormat="1" ht="12">
      <c r="A15" s="384"/>
    </row>
    <row r="16" spans="1:19" s="385" customFormat="1" ht="12">
      <c r="A16" s="384"/>
      <c r="P16" s="999"/>
    </row>
    <row r="17" spans="1:22" s="385" customFormat="1" ht="12">
      <c r="A17" s="384"/>
    </row>
    <row r="18" spans="1:22" s="385" customFormat="1" ht="12">
      <c r="A18" s="384"/>
    </row>
    <row r="19" spans="1:22" s="385" customFormat="1" ht="12">
      <c r="A19" s="384"/>
      <c r="C19" s="805" t="s">
        <v>415</v>
      </c>
      <c r="Q19" s="806"/>
      <c r="R19" s="47"/>
      <c r="S19" s="326"/>
    </row>
    <row r="20" spans="1:22" s="385" customFormat="1" ht="12">
      <c r="A20" s="384"/>
      <c r="Q20" s="806"/>
      <c r="R20" s="47"/>
      <c r="S20" s="326"/>
    </row>
    <row r="21" spans="1:22" s="385" customFormat="1" ht="27" customHeight="1">
      <c r="A21" s="384"/>
      <c r="D21" s="1421" t="s">
        <v>304</v>
      </c>
      <c r="E21" s="1421"/>
      <c r="F21" s="1467"/>
      <c r="G21" s="1468" t="s">
        <v>305</v>
      </c>
      <c r="H21" s="1421"/>
      <c r="I21" s="1467"/>
      <c r="J21" s="1468" t="s">
        <v>306</v>
      </c>
      <c r="K21" s="1421"/>
      <c r="L21" s="1467"/>
      <c r="M21" s="1468" t="s">
        <v>307</v>
      </c>
      <c r="N21" s="1421"/>
      <c r="O21" s="1421"/>
      <c r="P21" s="1473"/>
      <c r="Q21" s="47"/>
      <c r="R21" s="1466"/>
      <c r="S21" s="827"/>
      <c r="T21" s="483"/>
      <c r="U21" s="39"/>
      <c r="V21" s="39"/>
    </row>
    <row r="22" spans="1:22" s="385" customFormat="1" ht="27" customHeight="1">
      <c r="A22" s="384"/>
      <c r="C22" s="483" t="s">
        <v>295</v>
      </c>
      <c r="D22" s="382" t="s">
        <v>296</v>
      </c>
      <c r="E22" s="382" t="s">
        <v>185</v>
      </c>
      <c r="F22" s="507" t="s">
        <v>303</v>
      </c>
      <c r="G22" s="506" t="s">
        <v>296</v>
      </c>
      <c r="H22" s="382" t="s">
        <v>185</v>
      </c>
      <c r="I22" s="508" t="s">
        <v>303</v>
      </c>
      <c r="J22" s="382" t="s">
        <v>296</v>
      </c>
      <c r="K22" s="509" t="s">
        <v>185</v>
      </c>
      <c r="L22" s="507" t="s">
        <v>303</v>
      </c>
      <c r="M22" s="510" t="s">
        <v>296</v>
      </c>
      <c r="N22" s="509" t="s">
        <v>185</v>
      </c>
      <c r="O22" s="507" t="s">
        <v>303</v>
      </c>
      <c r="P22" s="1474"/>
      <c r="Q22" s="839"/>
      <c r="R22" s="1466"/>
      <c r="S22" s="832"/>
      <c r="T22" s="832"/>
      <c r="U22" s="833"/>
      <c r="V22" s="833"/>
    </row>
    <row r="23" spans="1:22" s="385" customFormat="1" ht="27" customHeight="1">
      <c r="A23" s="384"/>
      <c r="C23" s="673" t="s">
        <v>297</v>
      </c>
      <c r="D23" s="386">
        <f>D24+D25+D26+D27+D28</f>
        <v>809.12804034700002</v>
      </c>
      <c r="E23" s="1000">
        <f>E24+E25+E26+E27+E28</f>
        <v>17.875444999999999</v>
      </c>
      <c r="F23" s="1001">
        <f t="shared" ref="F23:F28" si="2">E23/D23*100</f>
        <v>2.2092232760014094</v>
      </c>
      <c r="G23" s="387">
        <f>G24+G25+G26+G27+G28</f>
        <v>5947.8342709999997</v>
      </c>
      <c r="H23" s="1000">
        <f>H24+H25+H26+H27+H28</f>
        <v>149.126374</v>
      </c>
      <c r="I23" s="1002">
        <f t="shared" ref="I23:I28" si="3">H23/G23*100</f>
        <v>2.5072382182385122</v>
      </c>
      <c r="J23" s="386">
        <f>J24+J25+J26+J27+J28</f>
        <v>1.957342513</v>
      </c>
      <c r="K23" s="1000">
        <f>K24+K25+K26+K27+K28</f>
        <v>4.1100000000000002E-4</v>
      </c>
      <c r="L23" s="1003">
        <f>K23/H23*100</f>
        <v>2.7560517229500932E-4</v>
      </c>
      <c r="M23" s="1004">
        <f>M24+M25+M26+M27+M28</f>
        <v>6758.9196538599999</v>
      </c>
      <c r="N23" s="386">
        <f>N24+N25+N26+N27+N28</f>
        <v>167.00223</v>
      </c>
      <c r="O23" s="1003">
        <f t="shared" ref="O23:O28" si="4">N23/M23*100</f>
        <v>2.4708420657822954</v>
      </c>
      <c r="P23" s="818"/>
      <c r="Q23" s="841"/>
      <c r="R23" s="317"/>
      <c r="S23" s="828"/>
      <c r="T23" s="834"/>
      <c r="U23" s="835"/>
      <c r="V23" s="835"/>
    </row>
    <row r="24" spans="1:22" s="385" customFormat="1" ht="27" customHeight="1">
      <c r="A24" s="384"/>
      <c r="C24" s="674" t="s">
        <v>298</v>
      </c>
      <c r="D24" s="783">
        <v>779.56813525500002</v>
      </c>
      <c r="E24" s="1141">
        <v>7.4001049999999999</v>
      </c>
      <c r="F24" s="1005">
        <f t="shared" si="2"/>
        <v>0.94925698798340363</v>
      </c>
      <c r="G24" s="1143">
        <v>5577.235627</v>
      </c>
      <c r="H24" s="1141">
        <v>58.396897000000003</v>
      </c>
      <c r="I24" s="1006">
        <f t="shared" si="3"/>
        <v>1.0470580930325828</v>
      </c>
      <c r="J24" s="783">
        <v>1.957342513</v>
      </c>
      <c r="K24" s="783">
        <v>4.1100000000000002E-4</v>
      </c>
      <c r="L24" s="1007">
        <f>K24/H24*100</f>
        <v>7.0380451892846285E-4</v>
      </c>
      <c r="M24" s="1008">
        <f t="shared" ref="M24:N24" si="5">D24+G24+J24</f>
        <v>6358.7611047680002</v>
      </c>
      <c r="N24" s="388">
        <f t="shared" si="5"/>
        <v>65.797413000000006</v>
      </c>
      <c r="O24" s="1003">
        <f t="shared" si="4"/>
        <v>1.0347520832424892</v>
      </c>
      <c r="P24" s="818"/>
      <c r="Q24" s="841"/>
      <c r="R24" s="840"/>
      <c r="S24" s="829"/>
      <c r="T24" s="836"/>
      <c r="U24" s="837"/>
      <c r="V24" s="837"/>
    </row>
    <row r="25" spans="1:22" s="385" customFormat="1" ht="27" customHeight="1">
      <c r="A25" s="384"/>
      <c r="C25" s="674" t="s">
        <v>299</v>
      </c>
      <c r="D25" s="783">
        <v>21.186833538999998</v>
      </c>
      <c r="E25" s="1141">
        <v>3.12547</v>
      </c>
      <c r="F25" s="1351">
        <f>E25/D25*100</f>
        <v>14.751944854084693</v>
      </c>
      <c r="G25" s="1143">
        <v>318.17877600000003</v>
      </c>
      <c r="H25" s="1141">
        <v>56.502299000000001</v>
      </c>
      <c r="I25" s="1006">
        <f t="shared" si="3"/>
        <v>17.758035187111286</v>
      </c>
      <c r="J25" s="783">
        <v>0</v>
      </c>
      <c r="K25" s="783">
        <v>0</v>
      </c>
      <c r="L25" s="1007">
        <f>K25/H25*100</f>
        <v>0</v>
      </c>
      <c r="M25" s="1008">
        <f t="shared" ref="M25:M28" si="6">D25+G25+J25</f>
        <v>339.36560953900005</v>
      </c>
      <c r="N25" s="388">
        <f t="shared" ref="N25:N28" si="7">E25+H25+K25</f>
        <v>59.627769000000001</v>
      </c>
      <c r="O25" s="1003">
        <f t="shared" si="4"/>
        <v>17.570362854680344</v>
      </c>
      <c r="P25" s="818"/>
      <c r="Q25" s="842"/>
      <c r="R25" s="47"/>
      <c r="S25" s="829"/>
      <c r="T25" s="836"/>
      <c r="U25" s="838"/>
      <c r="V25" s="838"/>
    </row>
    <row r="26" spans="1:22" s="385" customFormat="1" ht="27" customHeight="1">
      <c r="A26" s="384"/>
      <c r="C26" s="674" t="s">
        <v>300</v>
      </c>
      <c r="D26" s="783">
        <v>0</v>
      </c>
      <c r="E26" s="1141">
        <v>0</v>
      </c>
      <c r="F26" s="1009">
        <v>0</v>
      </c>
      <c r="G26" s="1143">
        <v>0</v>
      </c>
      <c r="H26" s="1141">
        <v>0</v>
      </c>
      <c r="I26" s="1009">
        <v>0</v>
      </c>
      <c r="J26" s="783">
        <v>0</v>
      </c>
      <c r="K26" s="783">
        <v>0</v>
      </c>
      <c r="L26" s="1007">
        <v>0</v>
      </c>
      <c r="M26" s="1008">
        <f t="shared" si="6"/>
        <v>0</v>
      </c>
      <c r="N26" s="388">
        <f t="shared" si="7"/>
        <v>0</v>
      </c>
      <c r="O26" s="1003">
        <v>0</v>
      </c>
      <c r="P26" s="819"/>
      <c r="Q26" s="842"/>
      <c r="R26" s="840"/>
      <c r="S26" s="829"/>
      <c r="T26" s="836"/>
      <c r="U26" s="837"/>
      <c r="V26" s="837"/>
    </row>
    <row r="27" spans="1:22" s="385" customFormat="1" ht="27" customHeight="1">
      <c r="A27" s="384"/>
      <c r="C27" s="674" t="s">
        <v>301</v>
      </c>
      <c r="D27" s="783">
        <v>3.616444032</v>
      </c>
      <c r="E27" s="1141">
        <v>3.18594</v>
      </c>
      <c r="F27" s="1005">
        <f t="shared" si="2"/>
        <v>88.095929919260527</v>
      </c>
      <c r="G27" s="1143">
        <v>35.835621000000003</v>
      </c>
      <c r="H27" s="1141">
        <v>23.772801999999999</v>
      </c>
      <c r="I27" s="1006">
        <f t="shared" si="3"/>
        <v>66.338468084591014</v>
      </c>
      <c r="J27" s="783">
        <v>0</v>
      </c>
      <c r="K27" s="783">
        <v>0</v>
      </c>
      <c r="L27" s="1007">
        <f>K27/H27*100</f>
        <v>0</v>
      </c>
      <c r="M27" s="1008">
        <f t="shared" si="6"/>
        <v>39.452065032</v>
      </c>
      <c r="N27" s="388">
        <f t="shared" si="7"/>
        <v>26.958741999999997</v>
      </c>
      <c r="O27" s="1003">
        <f t="shared" si="4"/>
        <v>68.332904698736215</v>
      </c>
      <c r="P27" s="818"/>
      <c r="Q27" s="842"/>
      <c r="R27" s="47"/>
      <c r="S27" s="829"/>
      <c r="T27" s="1319"/>
      <c r="U27" s="838"/>
      <c r="V27" s="838"/>
    </row>
    <row r="28" spans="1:22" s="385" customFormat="1" ht="27" customHeight="1" thickBot="1">
      <c r="A28" s="384"/>
      <c r="C28" s="746" t="s">
        <v>302</v>
      </c>
      <c r="D28" s="1142">
        <v>4.7566275210000004</v>
      </c>
      <c r="E28" s="1142">
        <v>4.1639299999999997</v>
      </c>
      <c r="F28" s="1010">
        <f t="shared" si="2"/>
        <v>87.539543124129338</v>
      </c>
      <c r="G28" s="1144">
        <v>16.584247000000001</v>
      </c>
      <c r="H28" s="1142">
        <v>10.454376</v>
      </c>
      <c r="I28" s="1011">
        <f t="shared" si="3"/>
        <v>63.037990208418861</v>
      </c>
      <c r="J28" s="1142">
        <v>0</v>
      </c>
      <c r="K28" s="1142">
        <v>0</v>
      </c>
      <c r="L28" s="1012">
        <f>K28/H28*100</f>
        <v>0</v>
      </c>
      <c r="M28" s="1013">
        <f t="shared" si="6"/>
        <v>21.340874521000003</v>
      </c>
      <c r="N28" s="1013">
        <f t="shared" si="7"/>
        <v>14.618306</v>
      </c>
      <c r="O28" s="1014">
        <f t="shared" si="4"/>
        <v>68.499095412492068</v>
      </c>
      <c r="P28" s="818"/>
      <c r="Q28" s="842"/>
      <c r="R28" s="840"/>
      <c r="S28" s="829"/>
      <c r="T28" s="836"/>
      <c r="U28" s="837"/>
      <c r="V28" s="837"/>
    </row>
    <row r="29" spans="1:22" s="385" customFormat="1" ht="12">
      <c r="A29" s="384"/>
      <c r="H29" s="392"/>
      <c r="S29" s="829"/>
      <c r="T29" s="836"/>
      <c r="U29" s="838"/>
      <c r="V29" s="838"/>
    </row>
    <row r="30" spans="1:22" s="385" customFormat="1" ht="12">
      <c r="A30" s="384"/>
      <c r="C30" s="511" t="s">
        <v>504</v>
      </c>
      <c r="Q30" s="830"/>
      <c r="R30" s="831"/>
    </row>
    <row r="31" spans="1:22" s="385" customFormat="1" ht="12">
      <c r="A31" s="384"/>
      <c r="C31" s="136"/>
    </row>
    <row r="32" spans="1:22" s="385" customFormat="1" ht="12">
      <c r="A32" s="384"/>
      <c r="C32" s="456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</row>
    <row r="33" spans="3:17" s="136" customFormat="1" ht="11.25"/>
    <row r="34" spans="3:17" s="136" customFormat="1" ht="11.25">
      <c r="C34" s="394"/>
    </row>
    <row r="35" spans="3:17"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</row>
  </sheetData>
  <mergeCells count="14">
    <mergeCell ref="R21:R22"/>
    <mergeCell ref="C1:I1"/>
    <mergeCell ref="D21:F21"/>
    <mergeCell ref="G21:I21"/>
    <mergeCell ref="J21:L21"/>
    <mergeCell ref="M21:O21"/>
    <mergeCell ref="D6:E6"/>
    <mergeCell ref="F6:G6"/>
    <mergeCell ref="H6:I6"/>
    <mergeCell ref="P6:Q6"/>
    <mergeCell ref="N6:O6"/>
    <mergeCell ref="L6:M6"/>
    <mergeCell ref="J6:K6"/>
    <mergeCell ref="P21:P22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topLeftCell="A4" zoomScale="80" zoomScaleNormal="100" zoomScaleSheetLayoutView="80" workbookViewId="0">
      <selection activeCell="C39" sqref="C39"/>
    </sheetView>
  </sheetViews>
  <sheetFormatPr defaultRowHeight="23.25"/>
  <cols>
    <col min="1" max="1" width="22.28515625" style="62" customWidth="1"/>
    <col min="2" max="2" width="6.140625" style="62" customWidth="1"/>
    <col min="3" max="3" width="28.42578125" style="62" customWidth="1"/>
    <col min="4" max="8" width="11.42578125" style="62" customWidth="1"/>
    <col min="9" max="9" width="1.28515625" style="77" customWidth="1"/>
    <col min="10" max="10" width="6.28515625" style="77" customWidth="1"/>
    <col min="11" max="11" width="30.42578125" style="77" customWidth="1"/>
    <col min="12" max="16" width="11.42578125" style="77" customWidth="1"/>
    <col min="17" max="17" width="1.28515625" style="43" customWidth="1"/>
    <col min="18" max="18" width="0.5703125" style="62" customWidth="1"/>
    <col min="19" max="19" width="9.140625" style="62"/>
    <col min="20" max="20" width="14.140625" style="33" customWidth="1"/>
    <col min="21" max="16384" width="9.140625" style="62"/>
  </cols>
  <sheetData>
    <row r="1" spans="1:20" s="32" customFormat="1" ht="33" customHeight="1">
      <c r="A1" s="808"/>
      <c r="B1" s="30"/>
      <c r="C1" s="1376" t="s">
        <v>428</v>
      </c>
      <c r="D1" s="1376"/>
      <c r="E1" s="1376"/>
      <c r="F1" s="1376"/>
      <c r="G1" s="1376"/>
      <c r="H1" s="1376"/>
      <c r="I1" s="1376"/>
      <c r="J1" s="1376"/>
      <c r="K1" s="1376"/>
      <c r="L1" s="31"/>
      <c r="M1" s="31"/>
      <c r="N1" s="31"/>
      <c r="O1" s="31"/>
      <c r="P1" s="31"/>
      <c r="Q1" s="31"/>
      <c r="R1" s="30"/>
      <c r="T1" s="33"/>
    </row>
    <row r="2" spans="1:20" s="32" customFormat="1" ht="21" customHeight="1">
      <c r="A2" s="34"/>
      <c r="C2" s="414"/>
      <c r="D2" s="414"/>
      <c r="E2" s="414"/>
      <c r="F2" s="414"/>
      <c r="G2" s="414"/>
      <c r="H2" s="414"/>
      <c r="I2" s="415"/>
      <c r="J2" s="416"/>
      <c r="K2" s="416"/>
      <c r="L2" s="416"/>
      <c r="M2" s="416"/>
      <c r="N2" s="416"/>
      <c r="O2" s="416"/>
      <c r="P2" s="416"/>
      <c r="Q2" s="35"/>
      <c r="T2" s="36"/>
    </row>
    <row r="3" spans="1:20" s="32" customFormat="1">
      <c r="A3" s="34"/>
      <c r="C3" s="1377" t="s">
        <v>359</v>
      </c>
      <c r="D3" s="1377"/>
      <c r="E3" s="1377"/>
      <c r="F3" s="1377"/>
      <c r="G3" s="1377"/>
      <c r="H3" s="1377"/>
      <c r="I3" s="1377"/>
      <c r="J3" s="1377"/>
      <c r="K3" s="1377"/>
      <c r="L3" s="37"/>
      <c r="M3" s="37"/>
      <c r="N3" s="37"/>
      <c r="O3" s="37"/>
      <c r="P3" s="37"/>
      <c r="Q3" s="37"/>
      <c r="T3" s="33"/>
    </row>
    <row r="4" spans="1:20" s="32" customFormat="1" ht="26.25">
      <c r="A4" s="34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T4" s="33"/>
    </row>
    <row r="5" spans="1:20" s="32" customFormat="1">
      <c r="A5" s="908"/>
      <c r="C5" s="483" t="s">
        <v>54</v>
      </c>
      <c r="D5" s="40" t="s">
        <v>500</v>
      </c>
      <c r="E5" s="40" t="s">
        <v>501</v>
      </c>
      <c r="F5" s="40" t="s">
        <v>492</v>
      </c>
      <c r="G5" s="40" t="s">
        <v>498</v>
      </c>
      <c r="H5" s="41" t="s">
        <v>502</v>
      </c>
      <c r="I5" s="41"/>
      <c r="J5" s="42"/>
      <c r="K5" s="483" t="s">
        <v>54</v>
      </c>
      <c r="L5" s="40" t="s">
        <v>500</v>
      </c>
      <c r="M5" s="40" t="s">
        <v>501</v>
      </c>
      <c r="N5" s="40" t="s">
        <v>492</v>
      </c>
      <c r="O5" s="40" t="s">
        <v>498</v>
      </c>
      <c r="P5" s="41" t="s">
        <v>502</v>
      </c>
      <c r="Q5" s="41"/>
      <c r="R5" s="43"/>
      <c r="S5" s="43"/>
      <c r="T5" s="33"/>
    </row>
    <row r="6" spans="1:20" s="32" customFormat="1" ht="7.5" customHeight="1">
      <c r="A6" s="34"/>
      <c r="D6" s="1378"/>
      <c r="E6" s="1378"/>
      <c r="F6" s="1378"/>
      <c r="G6" s="1378"/>
      <c r="H6" s="1378"/>
      <c r="I6" s="1378"/>
      <c r="J6" s="72"/>
      <c r="K6" s="481"/>
      <c r="L6" s="481"/>
      <c r="M6" s="481"/>
      <c r="N6" s="481"/>
      <c r="O6" s="481"/>
      <c r="P6" s="1383"/>
      <c r="Q6" s="1383"/>
      <c r="R6" s="43"/>
      <c r="S6" s="43"/>
      <c r="T6" s="33"/>
    </row>
    <row r="7" spans="1:20" s="32" customFormat="1" ht="21.75" customHeight="1">
      <c r="A7" s="34"/>
      <c r="C7" s="662" t="s">
        <v>19</v>
      </c>
      <c r="D7" s="871">
        <v>5372.8180000000002</v>
      </c>
      <c r="E7" s="871">
        <v>8261.51</v>
      </c>
      <c r="F7" s="871">
        <v>7591.3239999999996</v>
      </c>
      <c r="G7" s="871">
        <v>7984</v>
      </c>
      <c r="H7" s="871">
        <v>7377.1237001620002</v>
      </c>
      <c r="I7" s="44"/>
      <c r="J7" s="952"/>
      <c r="K7" s="666" t="s">
        <v>329</v>
      </c>
      <c r="L7" s="878">
        <v>218493.76699999999</v>
      </c>
      <c r="M7" s="878">
        <v>220465.58499999999</v>
      </c>
      <c r="N7" s="878">
        <v>221020.41099999999</v>
      </c>
      <c r="O7" s="878">
        <v>222386.239</v>
      </c>
      <c r="P7" s="878">
        <v>226200.57699999999</v>
      </c>
      <c r="Q7" s="46"/>
      <c r="R7" s="43"/>
      <c r="S7" s="45"/>
      <c r="T7" s="33"/>
    </row>
    <row r="8" spans="1:20" s="32" customFormat="1" ht="21.75" customHeight="1">
      <c r="A8" s="34"/>
      <c r="C8" s="663" t="s">
        <v>20</v>
      </c>
      <c r="D8" s="871">
        <f>D7-D9</f>
        <v>4565.1220000000003</v>
      </c>
      <c r="E8" s="871">
        <f>E7-E9</f>
        <v>7509.7139999999999</v>
      </c>
      <c r="F8" s="871">
        <f>F7-F9</f>
        <v>6848.9839999999995</v>
      </c>
      <c r="G8" s="871">
        <f>G7-G9</f>
        <v>7316.5950000000003</v>
      </c>
      <c r="H8" s="871">
        <f>H7-H9</f>
        <v>6685.9425379840004</v>
      </c>
      <c r="I8" s="44"/>
      <c r="J8" s="952"/>
      <c r="K8" s="663" t="s">
        <v>37</v>
      </c>
      <c r="L8" s="879">
        <v>192788.75599999999</v>
      </c>
      <c r="M8" s="879">
        <v>194634.10399999999</v>
      </c>
      <c r="N8" s="879">
        <v>194612.353</v>
      </c>
      <c r="O8" s="879">
        <v>195112.65400000001</v>
      </c>
      <c r="P8" s="1333">
        <v>199679.17521261499</v>
      </c>
      <c r="R8" s="43"/>
      <c r="S8" s="45"/>
      <c r="T8" s="33"/>
    </row>
    <row r="9" spans="1:20" s="32" customFormat="1" ht="21.75" customHeight="1">
      <c r="A9" s="34"/>
      <c r="C9" s="663" t="s">
        <v>21</v>
      </c>
      <c r="D9" s="872">
        <v>807.69600000000003</v>
      </c>
      <c r="E9" s="872">
        <v>751.79600000000005</v>
      </c>
      <c r="F9" s="872">
        <v>742.34</v>
      </c>
      <c r="G9" s="872">
        <v>667.40499999999997</v>
      </c>
      <c r="H9" s="872">
        <v>691.18116217800002</v>
      </c>
      <c r="I9" s="50"/>
      <c r="J9" s="952"/>
      <c r="K9" s="663" t="s">
        <v>38</v>
      </c>
      <c r="L9" s="879">
        <v>20873.567999999999</v>
      </c>
      <c r="M9" s="879">
        <v>20930.400000000001</v>
      </c>
      <c r="N9" s="879">
        <v>21453.096000000001</v>
      </c>
      <c r="O9" s="879">
        <v>22482.464</v>
      </c>
      <c r="P9" s="1333">
        <v>21566.540032143999</v>
      </c>
      <c r="R9" s="43"/>
      <c r="S9" s="45"/>
      <c r="T9" s="51"/>
    </row>
    <row r="10" spans="1:20" s="32" customFormat="1" ht="21.75" customHeight="1">
      <c r="A10" s="34"/>
      <c r="C10" s="664" t="s">
        <v>22</v>
      </c>
      <c r="D10" s="873">
        <f>D11+D12+D13</f>
        <v>38337.22</v>
      </c>
      <c r="E10" s="873">
        <f>E11+E12+E13</f>
        <v>39066.861000000004</v>
      </c>
      <c r="F10" s="873">
        <f>F11+F12+F13</f>
        <v>40378.558999999994</v>
      </c>
      <c r="G10" s="873">
        <f>G11+G12+G13</f>
        <v>39330.387000000002</v>
      </c>
      <c r="H10" s="873">
        <f>H11+H12+H13</f>
        <v>39322.311600000001</v>
      </c>
      <c r="I10" s="53"/>
      <c r="J10" s="952"/>
      <c r="K10" s="663" t="s">
        <v>39</v>
      </c>
      <c r="L10" s="880">
        <v>3778.2170000000001</v>
      </c>
      <c r="M10" s="880">
        <v>3777.078</v>
      </c>
      <c r="N10" s="880">
        <v>3808.8560000000002</v>
      </c>
      <c r="O10" s="880">
        <v>3675.3119999999999</v>
      </c>
      <c r="P10" s="1334">
        <v>4830.424</v>
      </c>
      <c r="Q10" s="54"/>
      <c r="R10" s="55"/>
      <c r="S10" s="45"/>
      <c r="T10" s="51"/>
    </row>
    <row r="11" spans="1:20" s="32" customFormat="1" ht="21.75" customHeight="1">
      <c r="A11" s="34"/>
      <c r="C11" s="663" t="s">
        <v>23</v>
      </c>
      <c r="D11" s="871">
        <v>5080.6310000000003</v>
      </c>
      <c r="E11" s="871">
        <v>5717.8090000000002</v>
      </c>
      <c r="F11" s="871">
        <v>5650.7250000000004</v>
      </c>
      <c r="G11" s="871">
        <v>4895.7650000000003</v>
      </c>
      <c r="H11" s="871">
        <v>4565.5756000000001</v>
      </c>
      <c r="I11" s="44"/>
      <c r="J11" s="952"/>
      <c r="K11" s="666" t="s">
        <v>330</v>
      </c>
      <c r="L11" s="878">
        <v>19343.45</v>
      </c>
      <c r="M11" s="878">
        <v>17220.127</v>
      </c>
      <c r="N11" s="878">
        <v>18769.513999999999</v>
      </c>
      <c r="O11" s="878">
        <v>16866.596000000001</v>
      </c>
      <c r="P11" s="1335">
        <v>15707.392</v>
      </c>
      <c r="Q11" s="46"/>
      <c r="R11" s="56"/>
      <c r="S11" s="45"/>
      <c r="T11" s="57"/>
    </row>
    <row r="12" spans="1:20" s="32" customFormat="1" ht="21.75" customHeight="1">
      <c r="A12" s="34"/>
      <c r="C12" s="663" t="s">
        <v>24</v>
      </c>
      <c r="D12" s="871">
        <v>19475.205999999998</v>
      </c>
      <c r="E12" s="871">
        <v>19495.351999999999</v>
      </c>
      <c r="F12" s="871">
        <v>20817.582999999999</v>
      </c>
      <c r="G12" s="871">
        <v>20138.096000000001</v>
      </c>
      <c r="H12" s="871">
        <v>19611.97</v>
      </c>
      <c r="I12" s="44"/>
      <c r="J12" s="952"/>
      <c r="K12" s="663" t="s">
        <v>40</v>
      </c>
      <c r="L12" s="879">
        <v>6715.616</v>
      </c>
      <c r="M12" s="879">
        <v>6548.27</v>
      </c>
      <c r="N12" s="879">
        <v>6582.8580000000002</v>
      </c>
      <c r="O12" s="879">
        <v>6136.5789999999997</v>
      </c>
      <c r="P12" s="1333">
        <v>6262.0783399519996</v>
      </c>
      <c r="R12" s="56"/>
      <c r="S12" s="45"/>
      <c r="T12" s="51"/>
    </row>
    <row r="13" spans="1:20" s="32" customFormat="1" ht="21.75" customHeight="1">
      <c r="A13" s="34"/>
      <c r="C13" s="663" t="s">
        <v>25</v>
      </c>
      <c r="D13" s="872">
        <v>13781.383</v>
      </c>
      <c r="E13" s="872">
        <v>13853.7</v>
      </c>
      <c r="F13" s="872">
        <v>13910.251</v>
      </c>
      <c r="G13" s="872">
        <v>14296.526</v>
      </c>
      <c r="H13" s="872">
        <v>15144.766</v>
      </c>
      <c r="I13" s="44"/>
      <c r="J13" s="952"/>
      <c r="K13" s="663" t="s">
        <v>41</v>
      </c>
      <c r="L13" s="879">
        <v>9401.616</v>
      </c>
      <c r="M13" s="879">
        <v>7432.8130000000001</v>
      </c>
      <c r="N13" s="879">
        <v>7754.6970000000001</v>
      </c>
      <c r="O13" s="879">
        <v>7209.5020000000004</v>
      </c>
      <c r="P13" s="1333">
        <v>7293.9161152839997</v>
      </c>
      <c r="R13" s="56"/>
      <c r="S13" s="45"/>
      <c r="T13" s="51"/>
    </row>
    <row r="14" spans="1:20" s="32" customFormat="1" ht="21.75" customHeight="1">
      <c r="A14" s="34"/>
      <c r="C14" s="662" t="s">
        <v>26</v>
      </c>
      <c r="D14" s="874">
        <v>260834.821</v>
      </c>
      <c r="E14" s="874">
        <v>261208.23300000001</v>
      </c>
      <c r="F14" s="874">
        <v>258392.633</v>
      </c>
      <c r="G14" s="874">
        <v>259253.03</v>
      </c>
      <c r="H14" s="874">
        <v>265174.52</v>
      </c>
      <c r="I14" s="58"/>
      <c r="J14" s="952"/>
      <c r="K14" s="666" t="s">
        <v>42</v>
      </c>
      <c r="L14" s="881">
        <v>23602.899000000001</v>
      </c>
      <c r="M14" s="881">
        <v>23193.17</v>
      </c>
      <c r="N14" s="881">
        <v>23565.448</v>
      </c>
      <c r="O14" s="881">
        <v>23970.184000000001</v>
      </c>
      <c r="P14" s="1336">
        <v>25649.132000000001</v>
      </c>
      <c r="Q14" s="59"/>
      <c r="R14" s="56"/>
      <c r="S14" s="45"/>
      <c r="T14" s="60"/>
    </row>
    <row r="15" spans="1:20" s="32" customFormat="1" ht="21.75" customHeight="1">
      <c r="A15" s="34"/>
      <c r="C15" s="663" t="s">
        <v>27</v>
      </c>
      <c r="D15" s="874">
        <v>191072.171</v>
      </c>
      <c r="E15" s="874">
        <v>190962.367</v>
      </c>
      <c r="F15" s="874">
        <v>191309.476</v>
      </c>
      <c r="G15" s="874">
        <v>193372.726</v>
      </c>
      <c r="H15" s="874">
        <v>194331.423893764</v>
      </c>
      <c r="I15" s="44"/>
      <c r="J15" s="952"/>
      <c r="K15" s="663" t="s">
        <v>43</v>
      </c>
      <c r="L15" s="879">
        <v>19574.098999999998</v>
      </c>
      <c r="M15" s="879">
        <v>19467.901999999998</v>
      </c>
      <c r="N15" s="879">
        <v>19686.151000000002</v>
      </c>
      <c r="O15" s="879">
        <v>20056.43</v>
      </c>
      <c r="P15" s="1333">
        <v>21660.130441148998</v>
      </c>
      <c r="R15" s="56"/>
      <c r="S15" s="45"/>
      <c r="T15" s="951"/>
    </row>
    <row r="16" spans="1:20" ht="21.75" customHeight="1">
      <c r="A16" s="61"/>
      <c r="C16" s="663" t="s">
        <v>28</v>
      </c>
      <c r="D16" s="874">
        <v>13987.575999999999</v>
      </c>
      <c r="E16" s="874">
        <v>13371.731</v>
      </c>
      <c r="F16" s="874">
        <v>14101.6</v>
      </c>
      <c r="G16" s="874">
        <v>12939.285</v>
      </c>
      <c r="H16" s="874">
        <v>13741.106766911</v>
      </c>
      <c r="I16" s="44"/>
      <c r="J16" s="952"/>
      <c r="K16" s="663" t="s">
        <v>44</v>
      </c>
      <c r="L16" s="882">
        <v>4024.7930000000001</v>
      </c>
      <c r="M16" s="882">
        <v>3721.2629999999999</v>
      </c>
      <c r="N16" s="882">
        <v>3875.2910000000002</v>
      </c>
      <c r="O16" s="882">
        <v>3577.5410000000002</v>
      </c>
      <c r="P16" s="882">
        <v>3738.9508274320001</v>
      </c>
      <c r="Q16" s="63"/>
      <c r="R16" s="43"/>
      <c r="S16" s="45"/>
      <c r="T16" s="951"/>
    </row>
    <row r="17" spans="1:22" ht="21.75" customHeight="1">
      <c r="A17" s="61"/>
      <c r="C17" s="663" t="s">
        <v>29</v>
      </c>
      <c r="D17" s="874">
        <v>8026.6540000000005</v>
      </c>
      <c r="E17" s="874">
        <v>6865.2389999999996</v>
      </c>
      <c r="F17" s="874">
        <v>7758.5749999999998</v>
      </c>
      <c r="G17" s="874">
        <v>6778.1970000000001</v>
      </c>
      <c r="H17" s="874">
        <v>7597.0406027700001</v>
      </c>
      <c r="I17" s="44"/>
      <c r="J17" s="952"/>
      <c r="K17" s="666" t="s">
        <v>393</v>
      </c>
      <c r="L17" s="879">
        <f>3236.266+393.698+79.255+24.946+20.662+14.609+23452.813+315.05</f>
        <v>27537.298999999995</v>
      </c>
      <c r="M17" s="879">
        <f>3725.747+420.844+70.092+47.743+20.11+25.175+26725.88+327.633</f>
        <v>31363.224000000002</v>
      </c>
      <c r="N17" s="879">
        <f>3803.359+428.477+64.666+171.192+21985.086+299.375+22.023+7.221</f>
        <v>26781.399000000001</v>
      </c>
      <c r="O17" s="879">
        <f>3197.323+384.246+49.561+338.03+21.509+48.459+22765.872+315.034</f>
        <v>27120.034</v>
      </c>
      <c r="P17" s="879">
        <f>2518.978+381.03+24.886+207.39+29.235+29.818+24650.846+273.276</f>
        <v>28115.459000000003</v>
      </c>
      <c r="R17" s="43"/>
      <c r="S17" s="45"/>
      <c r="T17" s="951"/>
    </row>
    <row r="18" spans="1:22" ht="21.75" customHeight="1">
      <c r="A18" s="61"/>
      <c r="C18" s="663" t="s">
        <v>30</v>
      </c>
      <c r="D18" s="874">
        <v>6231.2489999999998</v>
      </c>
      <c r="E18" s="874">
        <v>6430.9970000000003</v>
      </c>
      <c r="F18" s="874">
        <v>6673.7648077699996</v>
      </c>
      <c r="G18" s="874">
        <v>6623.3440000000001</v>
      </c>
      <c r="H18" s="1332">
        <v>6753.1009999999997</v>
      </c>
      <c r="I18" s="44"/>
      <c r="J18" s="952"/>
      <c r="K18" s="663" t="s">
        <v>46</v>
      </c>
      <c r="L18" s="883">
        <v>393.69799999999998</v>
      </c>
      <c r="M18" s="883">
        <v>420.84399999999999</v>
      </c>
      <c r="N18" s="883">
        <v>428.47699999999998</v>
      </c>
      <c r="O18" s="883">
        <v>384.24599999999998</v>
      </c>
      <c r="P18" s="883">
        <v>381.03</v>
      </c>
      <c r="Q18" s="64"/>
      <c r="R18" s="43"/>
      <c r="S18" s="45"/>
      <c r="T18" s="951"/>
    </row>
    <row r="19" spans="1:22" ht="21.75" customHeight="1">
      <c r="A19" s="61"/>
      <c r="C19" s="663" t="s">
        <v>31</v>
      </c>
      <c r="D19" s="872">
        <f>D14-D15-D16-D17-D18</f>
        <v>41517.170999999988</v>
      </c>
      <c r="E19" s="872">
        <f>E14-E15-E16-E17-E18</f>
        <v>43577.899000000005</v>
      </c>
      <c r="F19" s="872">
        <f>F14-F15-F16-F17-F18</f>
        <v>38549.217192230011</v>
      </c>
      <c r="G19" s="872">
        <f>G14-G15-G16-G17-G18</f>
        <v>39539.478000000003</v>
      </c>
      <c r="H19" s="872">
        <f>H14-H15-H16-H17-H18</f>
        <v>42751.847736555013</v>
      </c>
      <c r="I19" s="49"/>
      <c r="J19" s="952"/>
      <c r="K19" s="663" t="s">
        <v>394</v>
      </c>
      <c r="L19" s="884">
        <v>14.609</v>
      </c>
      <c r="M19" s="884">
        <v>25.175000000000001</v>
      </c>
      <c r="N19" s="884">
        <v>7.2210000000000001</v>
      </c>
      <c r="O19" s="884">
        <v>48.459000000000003</v>
      </c>
      <c r="P19" s="884">
        <v>29.818000000000001</v>
      </c>
      <c r="Q19" s="66"/>
      <c r="R19" s="43"/>
      <c r="S19" s="45"/>
      <c r="T19" s="924"/>
    </row>
    <row r="20" spans="1:22" s="68" customFormat="1" ht="21.75" customHeight="1">
      <c r="A20" s="67"/>
      <c r="C20" s="662" t="s">
        <v>32</v>
      </c>
      <c r="D20" s="875">
        <v>438.69299999999998</v>
      </c>
      <c r="E20" s="875">
        <v>419.53199999999998</v>
      </c>
      <c r="F20" s="875">
        <v>439.011609013</v>
      </c>
      <c r="G20" s="875">
        <v>398.94099999999997</v>
      </c>
      <c r="H20" s="875">
        <v>370.79899999999998</v>
      </c>
      <c r="I20" s="49"/>
      <c r="J20" s="953"/>
      <c r="K20" s="667" t="s">
        <v>48</v>
      </c>
      <c r="L20" s="885">
        <f>L7+L11+L14+L17</f>
        <v>288977.41499999998</v>
      </c>
      <c r="M20" s="885">
        <f>M7+M11+M14+M17</f>
        <v>292242.10599999997</v>
      </c>
      <c r="N20" s="885">
        <f>N7+N11+N14+N17</f>
        <v>290136.77199999994</v>
      </c>
      <c r="O20" s="885">
        <f>O7+O11+O14+O17</f>
        <v>290343.05299999996</v>
      </c>
      <c r="P20" s="885">
        <f>P7+P11+P14+P17</f>
        <v>295672.55999999994</v>
      </c>
      <c r="Q20" s="65"/>
      <c r="R20" s="70"/>
      <c r="S20" s="45"/>
      <c r="T20" s="71"/>
    </row>
    <row r="21" spans="1:22" s="68" customFormat="1" ht="21.75" customHeight="1">
      <c r="A21" s="67"/>
      <c r="C21" s="662" t="s">
        <v>33</v>
      </c>
      <c r="D21" s="876">
        <f>368.392+2441.145+421.311+11.338+6.247+119.651+292.18+174.606</f>
        <v>3834.87</v>
      </c>
      <c r="E21" s="876">
        <f>368.063+2437.926+418.543+7.536+5.484+145.363+273.499+212.405+6.909</f>
        <v>3875.7280000000001</v>
      </c>
      <c r="F21" s="876">
        <f>358.497+2458.025+483.739+2.342+199.784+6.229+232.007+140.576</f>
        <v>3881.1990000000001</v>
      </c>
      <c r="G21" s="876">
        <f>364.74+2442.308+471.686+5.496+5.594+287.54+146.196+220.715+0</f>
        <v>3944.2750000000001</v>
      </c>
      <c r="H21" s="876">
        <v>3847.5949999999998</v>
      </c>
      <c r="I21" s="52"/>
      <c r="J21" s="952"/>
      <c r="K21" s="417"/>
      <c r="L21" s="886"/>
      <c r="M21" s="886"/>
      <c r="N21" s="886"/>
      <c r="O21" s="886"/>
      <c r="P21" s="886"/>
      <c r="Q21" s="65"/>
      <c r="R21" s="70"/>
      <c r="S21" s="45"/>
      <c r="T21" s="71"/>
    </row>
    <row r="22" spans="1:22" ht="21.75" customHeight="1">
      <c r="A22" s="61"/>
      <c r="C22" s="663" t="s">
        <v>34</v>
      </c>
      <c r="D22" s="877">
        <v>2441.145</v>
      </c>
      <c r="E22" s="877">
        <v>2437.9259999999999</v>
      </c>
      <c r="F22" s="877">
        <v>2458.0251814879998</v>
      </c>
      <c r="G22" s="877">
        <v>2442.308</v>
      </c>
      <c r="H22" s="877">
        <f>2459.176</f>
        <v>2459.1759999999999</v>
      </c>
      <c r="I22" s="44"/>
      <c r="J22" s="952"/>
      <c r="K22" s="668" t="s">
        <v>49</v>
      </c>
      <c r="L22" s="886">
        <v>3381.3919999999998</v>
      </c>
      <c r="M22" s="886">
        <v>3381.3919999999998</v>
      </c>
      <c r="N22" s="886">
        <v>3381.3919999999998</v>
      </c>
      <c r="O22" s="886">
        <v>3381.3919999999998</v>
      </c>
      <c r="P22" s="886">
        <v>3381.3919999999998</v>
      </c>
      <c r="Q22" s="65"/>
      <c r="R22" s="43"/>
      <c r="S22" s="45"/>
      <c r="T22" s="74"/>
    </row>
    <row r="23" spans="1:22" s="32" customFormat="1" ht="21.75" customHeight="1">
      <c r="A23" s="34"/>
      <c r="C23" s="663" t="s">
        <v>35</v>
      </c>
      <c r="D23" s="877">
        <v>421.31099999999998</v>
      </c>
      <c r="E23" s="877">
        <v>418.54300000000001</v>
      </c>
      <c r="F23" s="877">
        <v>483.73899999999998</v>
      </c>
      <c r="G23" s="877">
        <v>471.68599999999998</v>
      </c>
      <c r="H23" s="877">
        <v>506.88200000000001</v>
      </c>
      <c r="I23" s="69"/>
      <c r="J23" s="952"/>
      <c r="K23" s="668" t="s">
        <v>50</v>
      </c>
      <c r="L23" s="887">
        <v>294.26</v>
      </c>
      <c r="M23" s="887">
        <v>294.26</v>
      </c>
      <c r="N23" s="887">
        <v>286.33100000000002</v>
      </c>
      <c r="O23" s="887">
        <v>286.33100000000002</v>
      </c>
      <c r="P23" s="887">
        <v>286.07400000000001</v>
      </c>
      <c r="Q23" s="418"/>
      <c r="R23" s="43"/>
      <c r="S23" s="45"/>
      <c r="T23" s="75"/>
    </row>
    <row r="24" spans="1:22" s="32" customFormat="1" ht="21.75" customHeight="1">
      <c r="A24" s="34"/>
      <c r="C24" s="663" t="s">
        <v>36</v>
      </c>
      <c r="D24" s="871">
        <v>292.18</v>
      </c>
      <c r="E24" s="871">
        <v>273.49900000000002</v>
      </c>
      <c r="F24" s="871">
        <v>140.577</v>
      </c>
      <c r="G24" s="871">
        <v>146.196</v>
      </c>
      <c r="H24" s="871">
        <v>140.25800000000001</v>
      </c>
      <c r="I24" s="73"/>
      <c r="J24" s="952"/>
      <c r="K24" s="668" t="s">
        <v>51</v>
      </c>
      <c r="L24" s="888">
        <f>3334.002-1508.901</f>
        <v>1825.1009999999999</v>
      </c>
      <c r="M24" s="888">
        <f>3883.907-1615.701</f>
        <v>2268.2060000000001</v>
      </c>
      <c r="N24" s="888">
        <f>3574.896-1468.025</f>
        <v>2106.8710000000001</v>
      </c>
      <c r="O24" s="888">
        <f>3385.5-1573.885</f>
        <v>1811.615</v>
      </c>
      <c r="P24" s="888">
        <f>3017.888-1779.389</f>
        <v>1238.499</v>
      </c>
      <c r="Q24" s="419"/>
      <c r="R24" s="62"/>
      <c r="S24" s="45"/>
      <c r="T24" s="71"/>
      <c r="V24" s="76"/>
    </row>
    <row r="25" spans="1:22" s="32" customFormat="1" ht="21.75" customHeight="1">
      <c r="A25" s="34"/>
      <c r="C25" s="665" t="s">
        <v>31</v>
      </c>
      <c r="D25" s="872">
        <f>D21-D22-D23-D24</f>
        <v>680.23399999999992</v>
      </c>
      <c r="E25" s="872">
        <f>E21-E22-E23-E24</f>
        <v>745.7600000000001</v>
      </c>
      <c r="F25" s="872">
        <f>F21-F22-F23-F24</f>
        <v>798.85781851200022</v>
      </c>
      <c r="G25" s="872">
        <f>G21-G22-G23-G24</f>
        <v>884.08500000000015</v>
      </c>
      <c r="H25" s="872">
        <f>H21-H22-H23-H24</f>
        <v>741.27899999999977</v>
      </c>
      <c r="I25" s="801"/>
      <c r="J25" s="952"/>
      <c r="K25" s="668" t="s">
        <v>45</v>
      </c>
      <c r="L25" s="889">
        <v>14207.911</v>
      </c>
      <c r="M25" s="889">
        <v>14514.213</v>
      </c>
      <c r="N25" s="889">
        <v>14611.566000000001</v>
      </c>
      <c r="O25" s="889">
        <v>14930.228999999999</v>
      </c>
      <c r="P25" s="889">
        <v>15349.753000000001</v>
      </c>
      <c r="Q25" s="420"/>
      <c r="R25" s="62"/>
      <c r="S25" s="45"/>
      <c r="T25" s="71"/>
    </row>
    <row r="26" spans="1:22" s="32" customFormat="1" ht="21.75" customHeight="1">
      <c r="A26" s="34"/>
      <c r="C26" s="820"/>
      <c r="D26" s="802"/>
      <c r="E26" s="802"/>
      <c r="F26" s="802"/>
      <c r="G26" s="802"/>
      <c r="H26" s="802"/>
      <c r="I26" s="821"/>
      <c r="J26" s="954"/>
      <c r="K26" s="668" t="s">
        <v>52</v>
      </c>
      <c r="L26" s="887">
        <v>132.34200000000001</v>
      </c>
      <c r="M26" s="887">
        <v>131.685</v>
      </c>
      <c r="N26" s="887">
        <v>159.79300000000001</v>
      </c>
      <c r="O26" s="887">
        <v>158.01300000000001</v>
      </c>
      <c r="P26" s="887">
        <v>164.072</v>
      </c>
      <c r="Q26" s="421"/>
      <c r="R26" s="62"/>
      <c r="S26" s="45"/>
      <c r="T26" s="71"/>
    </row>
    <row r="27" spans="1:22" s="32" customFormat="1" ht="21.75" customHeight="1">
      <c r="A27" s="34"/>
      <c r="C27" s="800"/>
      <c r="D27" s="822"/>
      <c r="E27" s="822"/>
      <c r="F27" s="822"/>
      <c r="G27" s="822"/>
      <c r="H27" s="822"/>
      <c r="I27" s="823"/>
      <c r="J27" s="954"/>
      <c r="K27" s="669" t="s">
        <v>47</v>
      </c>
      <c r="L27" s="890">
        <f>SUM(L22:L26)</f>
        <v>19841.006000000001</v>
      </c>
      <c r="M27" s="890">
        <f>SUM(M22:M26)</f>
        <v>20589.756000000001</v>
      </c>
      <c r="N27" s="890">
        <f>SUM(N22:N26)</f>
        <v>20545.953000000001</v>
      </c>
      <c r="O27" s="890">
        <f>SUM(O22:O26)</f>
        <v>20567.579999999998</v>
      </c>
      <c r="P27" s="890">
        <f>SUM(P22:P26)</f>
        <v>20419.79</v>
      </c>
      <c r="Q27" s="422"/>
      <c r="R27" s="62"/>
      <c r="S27" s="45"/>
      <c r="T27" s="71"/>
    </row>
    <row r="28" spans="1:22" s="32" customFormat="1" ht="18" customHeight="1" thickBot="1">
      <c r="A28" s="34"/>
      <c r="C28" s="62"/>
      <c r="D28" s="803"/>
      <c r="E28" s="803"/>
      <c r="F28" s="803"/>
      <c r="G28" s="803"/>
      <c r="H28" s="803"/>
      <c r="I28" s="77"/>
      <c r="J28" s="954"/>
      <c r="K28" s="423"/>
      <c r="L28" s="891"/>
      <c r="M28" s="891"/>
      <c r="N28" s="891"/>
      <c r="O28" s="891"/>
      <c r="P28" s="891"/>
      <c r="Q28" s="424"/>
      <c r="R28" s="62"/>
      <c r="S28" s="62"/>
      <c r="T28" s="71"/>
    </row>
    <row r="29" spans="1:22" s="32" customFormat="1" ht="15.75" customHeight="1">
      <c r="A29" s="34"/>
      <c r="C29" s="1379" t="s">
        <v>378</v>
      </c>
      <c r="D29" s="1381">
        <f>D7+D10+D14+D20+D21</f>
        <v>308818.42200000002</v>
      </c>
      <c r="E29" s="1381">
        <f>E7+E10+E14+E20+E21</f>
        <v>312831.864</v>
      </c>
      <c r="F29" s="1381">
        <f>F7+F10+F14+F20+F21</f>
        <v>310682.72660901304</v>
      </c>
      <c r="G29" s="1381">
        <f>G7+G10+G14+G20+G21</f>
        <v>310910.63300000003</v>
      </c>
      <c r="H29" s="1381">
        <f>H7+H10+H14+H20+H21</f>
        <v>316092.34930016199</v>
      </c>
      <c r="I29" s="1032"/>
      <c r="J29" s="952"/>
      <c r="K29" s="1379" t="s">
        <v>53</v>
      </c>
      <c r="L29" s="1381">
        <f>L20+L27</f>
        <v>308818.42099999997</v>
      </c>
      <c r="M29" s="1381">
        <f>M20+M27</f>
        <v>312831.86199999996</v>
      </c>
      <c r="N29" s="1381">
        <f>N20+N27</f>
        <v>310682.72499999992</v>
      </c>
      <c r="O29" s="1381">
        <f>O20+O27</f>
        <v>310910.63299999997</v>
      </c>
      <c r="P29" s="1381">
        <f>P20+P27</f>
        <v>316092.34999999992</v>
      </c>
      <c r="Q29" s="1384"/>
      <c r="R29" s="43"/>
      <c r="S29" s="43"/>
      <c r="T29" s="75"/>
    </row>
    <row r="30" spans="1:22" s="32" customFormat="1" ht="15.75" customHeight="1" thickBot="1">
      <c r="A30" s="34"/>
      <c r="C30" s="1380"/>
      <c r="D30" s="1382"/>
      <c r="E30" s="1382"/>
      <c r="F30" s="1382"/>
      <c r="G30" s="1382"/>
      <c r="H30" s="1382"/>
      <c r="I30" s="1033"/>
      <c r="J30" s="78"/>
      <c r="K30" s="1380"/>
      <c r="L30" s="1382"/>
      <c r="M30" s="1382"/>
      <c r="N30" s="1382"/>
      <c r="O30" s="1382"/>
      <c r="P30" s="1382"/>
      <c r="Q30" s="1385"/>
      <c r="R30" s="79"/>
      <c r="S30" s="45"/>
      <c r="T30" s="80"/>
    </row>
    <row r="31" spans="1:22" s="32" customFormat="1">
      <c r="A31" s="34"/>
      <c r="C31" s="367"/>
      <c r="I31" s="82"/>
      <c r="J31" s="83"/>
      <c r="K31" s="423"/>
      <c r="L31" s="84"/>
      <c r="M31" s="84"/>
      <c r="N31" s="84"/>
      <c r="O31" s="84"/>
      <c r="P31" s="84"/>
      <c r="Q31" s="43"/>
      <c r="T31" s="85"/>
    </row>
    <row r="32" spans="1:22" s="32" customFormat="1">
      <c r="A32" s="34"/>
      <c r="C32" s="425"/>
      <c r="D32" s="426"/>
      <c r="E32" s="426"/>
      <c r="F32" s="426"/>
      <c r="G32" s="426"/>
      <c r="H32" s="426"/>
      <c r="I32" s="83"/>
      <c r="J32" s="83"/>
      <c r="K32" s="77"/>
      <c r="L32" s="77"/>
      <c r="M32" s="77"/>
      <c r="N32" s="77"/>
      <c r="O32" s="77"/>
      <c r="P32" s="77"/>
      <c r="Q32" s="43"/>
      <c r="T32" s="85"/>
    </row>
    <row r="33" spans="1:10">
      <c r="A33" s="61"/>
      <c r="C33" s="32"/>
      <c r="D33" s="83"/>
      <c r="E33" s="83"/>
      <c r="F33" s="83"/>
      <c r="G33" s="83"/>
      <c r="H33" s="83"/>
      <c r="I33" s="83"/>
      <c r="J33" s="83"/>
    </row>
    <row r="34" spans="1:10">
      <c r="J34" s="83"/>
    </row>
  </sheetData>
  <mergeCells count="17">
    <mergeCell ref="P6:Q6"/>
    <mergeCell ref="P29:P30"/>
    <mergeCell ref="N29:N30"/>
    <mergeCell ref="Q29:Q30"/>
    <mergeCell ref="G29:G30"/>
    <mergeCell ref="O29:O30"/>
    <mergeCell ref="L29:L30"/>
    <mergeCell ref="M29:M30"/>
    <mergeCell ref="H29:H30"/>
    <mergeCell ref="K29:K30"/>
    <mergeCell ref="C1:K1"/>
    <mergeCell ref="C3:K3"/>
    <mergeCell ref="D6:I6"/>
    <mergeCell ref="C29:C30"/>
    <mergeCell ref="D29:D30"/>
    <mergeCell ref="E29:E30"/>
    <mergeCell ref="F29:F30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view="pageBreakPreview" zoomScale="80" zoomScaleNormal="80" zoomScaleSheetLayoutView="80" workbookViewId="0">
      <selection activeCell="C32" sqref="C32:C33"/>
    </sheetView>
  </sheetViews>
  <sheetFormatPr defaultRowHeight="23.25"/>
  <cols>
    <col min="1" max="1" width="22.5703125" style="62" customWidth="1"/>
    <col min="2" max="2" width="5.7109375" style="62" customWidth="1"/>
    <col min="3" max="3" width="26" style="62" customWidth="1"/>
    <col min="4" max="4" width="14.28515625" style="77" customWidth="1"/>
    <col min="5" max="12" width="18.7109375" style="94" customWidth="1"/>
    <col min="13" max="13" width="3.85546875" style="62" customWidth="1"/>
    <col min="14" max="14" width="14.140625" style="33" customWidth="1"/>
    <col min="15" max="15" width="11.140625" style="62" bestFit="1" customWidth="1"/>
    <col min="16" max="16384" width="9.140625" style="62"/>
  </cols>
  <sheetData>
    <row r="1" spans="1:15" s="32" customFormat="1" ht="36" customHeight="1">
      <c r="A1" s="809"/>
      <c r="B1" s="87"/>
      <c r="C1" s="1376" t="s">
        <v>429</v>
      </c>
      <c r="D1" s="1376"/>
      <c r="E1" s="1220"/>
      <c r="F1" s="1220"/>
      <c r="G1" s="1220"/>
      <c r="H1" s="1220"/>
      <c r="I1" s="1220"/>
      <c r="J1" s="1220"/>
      <c r="K1" s="1220"/>
      <c r="L1" s="1220"/>
      <c r="M1" s="30"/>
      <c r="N1" s="33"/>
    </row>
    <row r="2" spans="1:15" s="32" customFormat="1" ht="16.5" customHeight="1">
      <c r="A2" s="34"/>
      <c r="C2" s="427"/>
      <c r="D2" s="427"/>
      <c r="E2" s="428"/>
      <c r="F2" s="428"/>
      <c r="G2" s="428"/>
      <c r="H2" s="428"/>
      <c r="I2" s="428"/>
      <c r="J2" s="428"/>
      <c r="K2" s="428"/>
      <c r="L2" s="428"/>
      <c r="N2" s="33"/>
    </row>
    <row r="3" spans="1:15" s="32" customFormat="1" ht="16.5" customHeight="1">
      <c r="A3" s="34"/>
      <c r="C3" s="1377" t="s">
        <v>360</v>
      </c>
      <c r="D3" s="1377"/>
      <c r="E3" s="1221"/>
      <c r="F3" s="1221"/>
      <c r="G3" s="1221"/>
      <c r="H3" s="1221"/>
      <c r="I3" s="1221"/>
      <c r="J3" s="1221"/>
      <c r="K3" s="1221"/>
      <c r="L3" s="1221"/>
      <c r="N3" s="33"/>
    </row>
    <row r="4" spans="1:15" s="32" customFormat="1" ht="16.5" customHeight="1">
      <c r="A4" s="34"/>
      <c r="C4" s="37"/>
      <c r="D4" s="37"/>
      <c r="E4" s="37"/>
      <c r="F4" s="37"/>
      <c r="G4" s="37"/>
      <c r="H4" s="37"/>
      <c r="I4" s="37"/>
      <c r="J4" s="37"/>
      <c r="K4" s="37"/>
      <c r="L4" s="37"/>
      <c r="N4" s="33"/>
    </row>
    <row r="5" spans="1:15" s="32" customFormat="1" ht="24.6" customHeight="1">
      <c r="A5" s="34"/>
      <c r="C5" s="88"/>
      <c r="D5" s="89"/>
      <c r="E5" s="1399" t="s">
        <v>505</v>
      </c>
      <c r="F5" s="1399"/>
      <c r="G5" s="1399"/>
      <c r="H5" s="1399"/>
      <c r="I5" s="1400" t="s">
        <v>510</v>
      </c>
      <c r="J5" s="1401" t="s">
        <v>72</v>
      </c>
      <c r="K5" s="1402"/>
      <c r="L5" s="1398" t="s">
        <v>513</v>
      </c>
      <c r="N5" s="90"/>
    </row>
    <row r="6" spans="1:15" s="32" customFormat="1" ht="24.6" customHeight="1">
      <c r="A6" s="34"/>
      <c r="C6" s="42"/>
      <c r="D6" s="483" t="s">
        <v>54</v>
      </c>
      <c r="E6" s="1290" t="s">
        <v>506</v>
      </c>
      <c r="F6" s="1290" t="s">
        <v>507</v>
      </c>
      <c r="G6" s="1290" t="s">
        <v>508</v>
      </c>
      <c r="H6" s="1290" t="s">
        <v>509</v>
      </c>
      <c r="I6" s="1400"/>
      <c r="J6" s="914" t="s">
        <v>511</v>
      </c>
      <c r="K6" s="1222" t="s">
        <v>512</v>
      </c>
      <c r="L6" s="1398"/>
    </row>
    <row r="7" spans="1:15" s="32" customFormat="1" ht="5.25" customHeight="1">
      <c r="A7" s="34"/>
      <c r="C7" s="72"/>
      <c r="E7" s="655"/>
      <c r="F7" s="655"/>
      <c r="G7" s="655"/>
      <c r="H7" s="655"/>
      <c r="I7" s="655"/>
      <c r="J7" s="655"/>
      <c r="K7" s="655"/>
      <c r="L7" s="655"/>
    </row>
    <row r="8" spans="1:15" s="32" customFormat="1" ht="27.6" customHeight="1">
      <c r="A8" s="91"/>
      <c r="B8" s="62"/>
      <c r="C8" s="1396" t="s">
        <v>55</v>
      </c>
      <c r="D8" s="1397"/>
      <c r="E8" s="902">
        <f>E9+E12+E15+E16+E17+E18+E19+E20+E21</f>
        <v>556.25600000000009</v>
      </c>
      <c r="F8" s="902">
        <v>392.84499999999923</v>
      </c>
      <c r="G8" s="902">
        <v>440.13999999999982</v>
      </c>
      <c r="H8" s="902">
        <f>H9+H12+H15+H16+H17+H18+H19+H20+H21</f>
        <v>184.96400000000011</v>
      </c>
      <c r="I8" s="902">
        <f>I9+I12+I15+I16+I17+I18+I19+I20+I21</f>
        <v>1574.2049999999992</v>
      </c>
      <c r="J8" s="902">
        <f>J9+J12+J15+J16+J17+J18+J19+J20+J21</f>
        <v>878.71199999999999</v>
      </c>
      <c r="K8" s="902">
        <f>K9+K12+K15+K16+K17+K18+K19+K20+K21</f>
        <v>606.51299999999969</v>
      </c>
      <c r="L8" s="1327">
        <f>L9+L12+L15+L16+L17+L18+L19+L20+L21</f>
        <v>1485.261</v>
      </c>
    </row>
    <row r="9" spans="1:15" s="32" customFormat="1" ht="27.6" customHeight="1">
      <c r="A9" s="91"/>
      <c r="B9" s="62"/>
      <c r="C9" s="1388" t="s">
        <v>56</v>
      </c>
      <c r="D9" s="1389"/>
      <c r="E9" s="903">
        <f>E10-E11</f>
        <v>1243.6610000000001</v>
      </c>
      <c r="F9" s="903">
        <v>1246</v>
      </c>
      <c r="G9" s="903">
        <v>1256.442</v>
      </c>
      <c r="H9" s="1029">
        <v>1274.3420000000001</v>
      </c>
      <c r="I9" s="903">
        <f>I10-I11</f>
        <v>5019.5409999999993</v>
      </c>
      <c r="J9" s="903">
        <f>J10-J11</f>
        <v>1262.7449999999999</v>
      </c>
      <c r="K9" s="903">
        <f>K10-K11</f>
        <v>1288.3649999999998</v>
      </c>
      <c r="L9" s="1326">
        <f>L10-L11</f>
        <v>2551.1099999999997</v>
      </c>
    </row>
    <row r="10" spans="1:15" s="32" customFormat="1" ht="27.6" customHeight="1">
      <c r="A10" s="91"/>
      <c r="B10" s="62"/>
      <c r="C10" s="1388" t="s">
        <v>57</v>
      </c>
      <c r="D10" s="1389"/>
      <c r="E10" s="903">
        <v>2151.5070000000001</v>
      </c>
      <c r="F10" s="903">
        <v>2142.0539999999996</v>
      </c>
      <c r="G10" s="903">
        <v>2108.9249999999997</v>
      </c>
      <c r="H10" s="1029">
        <v>2109.8240000000001</v>
      </c>
      <c r="I10" s="903">
        <v>8512.31</v>
      </c>
      <c r="J10" s="903">
        <v>2083.7759999999998</v>
      </c>
      <c r="K10" s="1331">
        <v>2106.5439999999999</v>
      </c>
      <c r="L10" s="1291">
        <v>4190.32</v>
      </c>
    </row>
    <row r="11" spans="1:15" s="32" customFormat="1" ht="27.6" customHeight="1">
      <c r="A11" s="91"/>
      <c r="B11" s="62"/>
      <c r="C11" s="1388" t="s">
        <v>58</v>
      </c>
      <c r="D11" s="1389"/>
      <c r="E11" s="903">
        <v>907.846</v>
      </c>
      <c r="F11" s="903">
        <v>896.95800000000008</v>
      </c>
      <c r="G11" s="903">
        <v>852.48299999999972</v>
      </c>
      <c r="H11" s="1029">
        <v>835.48199999999997</v>
      </c>
      <c r="I11" s="903">
        <v>3492.7689999999998</v>
      </c>
      <c r="J11" s="903">
        <v>821.03099999999995</v>
      </c>
      <c r="K11" s="1331">
        <v>818.17899999999997</v>
      </c>
      <c r="L11" s="1291">
        <v>1639.21</v>
      </c>
      <c r="O11" s="32" t="s">
        <v>0</v>
      </c>
    </row>
    <row r="12" spans="1:15" s="32" customFormat="1" ht="27.6" customHeight="1">
      <c r="A12" s="91"/>
      <c r="B12" s="62"/>
      <c r="C12" s="1388" t="s">
        <v>59</v>
      </c>
      <c r="D12" s="1389"/>
      <c r="E12" s="903">
        <f>E13-E14</f>
        <v>231.73500000000001</v>
      </c>
      <c r="F12" s="903">
        <v>236.27100000000002</v>
      </c>
      <c r="G12" s="903">
        <v>241.52499999999986</v>
      </c>
      <c r="H12" s="1029">
        <v>227.62000000000006</v>
      </c>
      <c r="I12" s="903">
        <f>I13-I14</f>
        <v>937.15099999999995</v>
      </c>
      <c r="J12" s="903">
        <f>J13-J14</f>
        <v>274.01900000000001</v>
      </c>
      <c r="K12" s="1330">
        <f>K13-K14</f>
        <v>264.50900000000001</v>
      </c>
      <c r="L12" s="1326">
        <f>L13-L14</f>
        <v>538.52800000000002</v>
      </c>
    </row>
    <row r="13" spans="1:15" s="32" customFormat="1" ht="27.6" customHeight="1">
      <c r="A13" s="91"/>
      <c r="B13" s="62"/>
      <c r="C13" s="1388" t="s">
        <v>60</v>
      </c>
      <c r="D13" s="1389"/>
      <c r="E13" s="903">
        <v>449.64100000000002</v>
      </c>
      <c r="F13" s="903">
        <v>457.18900000000002</v>
      </c>
      <c r="G13" s="903">
        <v>482.01999999999981</v>
      </c>
      <c r="H13" s="1029">
        <v>476.64000000000004</v>
      </c>
      <c r="I13" s="903">
        <v>1865.49</v>
      </c>
      <c r="J13" s="903">
        <v>506.67899999999997</v>
      </c>
      <c r="K13" s="1331">
        <v>508.80500000000001</v>
      </c>
      <c r="L13" s="1291">
        <v>1015.484</v>
      </c>
    </row>
    <row r="14" spans="1:15" s="32" customFormat="1" ht="27.6" customHeight="1">
      <c r="A14" s="91"/>
      <c r="B14" s="62"/>
      <c r="C14" s="1388" t="s">
        <v>61</v>
      </c>
      <c r="D14" s="1389"/>
      <c r="E14" s="903">
        <v>217.90600000000001</v>
      </c>
      <c r="F14" s="903">
        <v>220.91800000000001</v>
      </c>
      <c r="G14" s="903">
        <v>240.49499999999995</v>
      </c>
      <c r="H14" s="1029">
        <v>249.02000000000004</v>
      </c>
      <c r="I14" s="903">
        <v>928.33900000000006</v>
      </c>
      <c r="J14" s="903">
        <v>232.66</v>
      </c>
      <c r="K14" s="1331">
        <v>244.29599999999999</v>
      </c>
      <c r="L14" s="1291">
        <v>476.95600000000002</v>
      </c>
    </row>
    <row r="15" spans="1:15" s="32" customFormat="1" ht="27.6" customHeight="1">
      <c r="A15" s="91"/>
      <c r="B15" s="62"/>
      <c r="C15" s="1388" t="s">
        <v>62</v>
      </c>
      <c r="D15" s="1389"/>
      <c r="E15" s="903">
        <v>67.317999999999998</v>
      </c>
      <c r="F15" s="903">
        <v>53.081000000000003</v>
      </c>
      <c r="G15" s="903">
        <v>16.881</v>
      </c>
      <c r="H15" s="1029">
        <v>47.22999999999999</v>
      </c>
      <c r="I15" s="903">
        <v>184.51</v>
      </c>
      <c r="J15" s="903">
        <v>39.828000000000003</v>
      </c>
      <c r="K15" s="1331">
        <v>19.617000000000001</v>
      </c>
      <c r="L15" s="1291">
        <v>59.445</v>
      </c>
    </row>
    <row r="16" spans="1:15" s="32" customFormat="1" ht="27.6" customHeight="1">
      <c r="A16" s="91"/>
      <c r="B16" s="62"/>
      <c r="C16" s="1388" t="s">
        <v>63</v>
      </c>
      <c r="D16" s="1389"/>
      <c r="E16" s="903">
        <v>-58.265999999999998</v>
      </c>
      <c r="F16" s="903">
        <v>116.863</v>
      </c>
      <c r="G16" s="903">
        <v>-102.36199999999999</v>
      </c>
      <c r="H16" s="1029">
        <v>158.15299999999999</v>
      </c>
      <c r="I16" s="903">
        <v>114.38800000000001</v>
      </c>
      <c r="J16" s="903">
        <v>-158.47499999999999</v>
      </c>
      <c r="K16" s="1331">
        <v>11.276999999999999</v>
      </c>
      <c r="L16" s="1291">
        <v>-147.19800000000001</v>
      </c>
      <c r="N16" s="81"/>
    </row>
    <row r="17" spans="1:15" s="32" customFormat="1" ht="27.6" customHeight="1">
      <c r="A17" s="91"/>
      <c r="B17" s="62"/>
      <c r="C17" s="1388" t="s">
        <v>64</v>
      </c>
      <c r="D17" s="1389"/>
      <c r="E17" s="903">
        <v>9.2870000000000008</v>
      </c>
      <c r="F17" s="903">
        <v>19.595999999999997</v>
      </c>
      <c r="G17" s="903">
        <v>3.8890000000000029</v>
      </c>
      <c r="H17" s="1029">
        <v>-33.807000000000002</v>
      </c>
      <c r="I17" s="903">
        <v>-1.0349999999999999</v>
      </c>
      <c r="J17" s="903">
        <v>15.785</v>
      </c>
      <c r="K17" s="1331">
        <v>88.387</v>
      </c>
      <c r="L17" s="1291">
        <v>104.172</v>
      </c>
      <c r="N17" s="81"/>
    </row>
    <row r="18" spans="1:15" s="32" customFormat="1" ht="27.6" customHeight="1">
      <c r="A18" s="91"/>
      <c r="B18" s="62"/>
      <c r="C18" s="1388" t="s">
        <v>65</v>
      </c>
      <c r="D18" s="1389"/>
      <c r="E18" s="903">
        <v>0</v>
      </c>
      <c r="F18" s="903">
        <v>0</v>
      </c>
      <c r="G18" s="903">
        <v>0</v>
      </c>
      <c r="H18" s="1029">
        <v>0</v>
      </c>
      <c r="I18" s="903">
        <v>0</v>
      </c>
      <c r="J18" s="903">
        <v>0</v>
      </c>
      <c r="K18" s="1331">
        <v>0</v>
      </c>
      <c r="L18" s="1291">
        <v>0</v>
      </c>
    </row>
    <row r="19" spans="1:15" s="32" customFormat="1" ht="27.6" customHeight="1">
      <c r="A19" s="91"/>
      <c r="B19" s="62"/>
      <c r="C19" s="1388" t="s">
        <v>66</v>
      </c>
      <c r="D19" s="1389"/>
      <c r="E19" s="903">
        <v>-180.21</v>
      </c>
      <c r="F19" s="903">
        <v>-250.53400000000002</v>
      </c>
      <c r="G19" s="903">
        <v>-240.0989999999999</v>
      </c>
      <c r="H19" s="1029">
        <v>-163.23300000000009</v>
      </c>
      <c r="I19" s="903">
        <v>-834.07600000000002</v>
      </c>
      <c r="J19" s="903">
        <v>-79.313000000000002</v>
      </c>
      <c r="K19" s="1331">
        <v>-204.48</v>
      </c>
      <c r="L19" s="1291">
        <v>-283.75700000000001</v>
      </c>
    </row>
    <row r="20" spans="1:15" s="32" customFormat="1" ht="27.6" customHeight="1">
      <c r="A20" s="91"/>
      <c r="B20" s="62"/>
      <c r="C20" s="1388" t="s">
        <v>433</v>
      </c>
      <c r="D20" s="1389"/>
      <c r="E20" s="903">
        <v>-772.44200000000001</v>
      </c>
      <c r="F20" s="903">
        <v>-873</v>
      </c>
      <c r="G20" s="903">
        <v>-767.23</v>
      </c>
      <c r="H20" s="1029">
        <v>-1066.694</v>
      </c>
      <c r="I20" s="903">
        <v>-3478.4760000000001</v>
      </c>
      <c r="J20" s="903">
        <v>-754.27099999999996</v>
      </c>
      <c r="K20" s="1331">
        <v>-784.15800000000002</v>
      </c>
      <c r="L20" s="1291">
        <v>-1538.4290000000001</v>
      </c>
    </row>
    <row r="21" spans="1:15" s="32" customFormat="1" ht="27.6" customHeight="1">
      <c r="A21" s="91"/>
      <c r="B21" s="62"/>
      <c r="C21" s="1388" t="s">
        <v>67</v>
      </c>
      <c r="D21" s="1389"/>
      <c r="E21" s="903">
        <v>15.173</v>
      </c>
      <c r="F21" s="903">
        <v>-155.41800000000001</v>
      </c>
      <c r="G21" s="903">
        <v>31.094000000000008</v>
      </c>
      <c r="H21" s="1029">
        <v>-258.64699999999999</v>
      </c>
      <c r="I21" s="903">
        <v>-367.798</v>
      </c>
      <c r="J21" s="903">
        <v>278.39400000000001</v>
      </c>
      <c r="K21" s="1331">
        <v>-77.004000000000005</v>
      </c>
      <c r="L21" s="1291">
        <v>201.39</v>
      </c>
    </row>
    <row r="22" spans="1:15" s="32" customFormat="1" ht="27.6" customHeight="1">
      <c r="A22" s="91"/>
      <c r="B22" s="62"/>
      <c r="C22" s="1390" t="s">
        <v>68</v>
      </c>
      <c r="D22" s="1391"/>
      <c r="E22" s="902">
        <f>E23+E24</f>
        <v>9.1069999999999993</v>
      </c>
      <c r="F22" s="902">
        <v>-47.088999999999999</v>
      </c>
      <c r="G22" s="902">
        <v>8.1570000000000054</v>
      </c>
      <c r="H22" s="1030">
        <v>9.0090000000000003</v>
      </c>
      <c r="I22" s="902">
        <f>I23+I24</f>
        <v>-20.816000000000003</v>
      </c>
      <c r="J22" s="902">
        <f>J23+J24</f>
        <v>-50.146999999999998</v>
      </c>
      <c r="K22" s="1329">
        <f>K23+K24</f>
        <v>-5.1909999999999989</v>
      </c>
      <c r="L22" s="1327">
        <f>L23+L24</f>
        <v>-55.338000000000008</v>
      </c>
    </row>
    <row r="23" spans="1:15" s="32" customFormat="1" ht="27.6" customHeight="1">
      <c r="A23" s="91"/>
      <c r="B23" s="62"/>
      <c r="C23" s="1388" t="s">
        <v>69</v>
      </c>
      <c r="D23" s="1389"/>
      <c r="E23" s="903">
        <v>-0.05</v>
      </c>
      <c r="F23" s="903">
        <v>-11.593999999999999</v>
      </c>
      <c r="G23" s="903">
        <v>-6.3749999999999982</v>
      </c>
      <c r="H23" s="1029">
        <v>-1.488</v>
      </c>
      <c r="I23" s="903">
        <v>-19.507000000000001</v>
      </c>
      <c r="J23" s="903">
        <v>-49.414999999999999</v>
      </c>
      <c r="K23" s="1331">
        <v>-14.863</v>
      </c>
      <c r="L23" s="1291">
        <v>-64.278000000000006</v>
      </c>
    </row>
    <row r="24" spans="1:15" s="32" customFormat="1" ht="27.6" customHeight="1">
      <c r="A24" s="91"/>
      <c r="B24" s="62"/>
      <c r="C24" s="1392" t="s">
        <v>70</v>
      </c>
      <c r="D24" s="1393"/>
      <c r="E24" s="903">
        <v>9.157</v>
      </c>
      <c r="F24" s="903">
        <v>-35.495000000000005</v>
      </c>
      <c r="G24" s="903">
        <v>14.532000000000004</v>
      </c>
      <c r="H24" s="1029">
        <v>10.497</v>
      </c>
      <c r="I24" s="903">
        <v>-1.3089999999999999</v>
      </c>
      <c r="J24" s="903">
        <v>-0.73199999999999998</v>
      </c>
      <c r="K24" s="1331">
        <v>9.6720000000000006</v>
      </c>
      <c r="L24" s="1291">
        <v>8.94</v>
      </c>
    </row>
    <row r="25" spans="1:15" s="32" customFormat="1" ht="27.6" customHeight="1">
      <c r="A25" s="91"/>
      <c r="B25" s="62"/>
      <c r="C25" s="1394" t="s">
        <v>71</v>
      </c>
      <c r="D25" s="1395"/>
      <c r="E25" s="902">
        <f>E8+E22</f>
        <v>565.36300000000006</v>
      </c>
      <c r="F25" s="902">
        <v>345.75599999999929</v>
      </c>
      <c r="G25" s="902">
        <v>448.2969999999998</v>
      </c>
      <c r="H25" s="902">
        <f>H8+H22</f>
        <v>193.97300000000013</v>
      </c>
      <c r="I25" s="902">
        <f>I8+I22</f>
        <v>1553.3889999999992</v>
      </c>
      <c r="J25" s="902">
        <f>J8+J22</f>
        <v>828.56499999999994</v>
      </c>
      <c r="K25" s="1329">
        <v>601.322</v>
      </c>
      <c r="L25" s="1327">
        <f>L8+L22</f>
        <v>1429.923</v>
      </c>
    </row>
    <row r="26" spans="1:15" ht="27.6" customHeight="1" thickBot="1">
      <c r="A26" s="91"/>
      <c r="C26" s="1386" t="s">
        <v>395</v>
      </c>
      <c r="D26" s="1387"/>
      <c r="E26" s="904">
        <v>443.29199999999997</v>
      </c>
      <c r="F26" s="904">
        <v>307.05</v>
      </c>
      <c r="G26" s="904">
        <v>355.57200000000006</v>
      </c>
      <c r="H26" s="904">
        <v>155.352</v>
      </c>
      <c r="I26" s="904">
        <v>1261.2660000000001</v>
      </c>
      <c r="J26" s="904">
        <v>637.47299999999996</v>
      </c>
      <c r="K26" s="1328">
        <f>460.845</f>
        <v>460.84500000000003</v>
      </c>
      <c r="L26" s="1325">
        <v>1098.318</v>
      </c>
      <c r="N26" s="32"/>
      <c r="O26" s="32"/>
    </row>
    <row r="27" spans="1:15" ht="6" customHeight="1">
      <c r="A27" s="91"/>
      <c r="C27" s="429"/>
      <c r="D27" s="47"/>
      <c r="E27" s="92"/>
      <c r="F27" s="92"/>
      <c r="G27" s="92"/>
      <c r="H27" s="92"/>
      <c r="I27" s="92"/>
      <c r="J27" s="92"/>
      <c r="K27" s="92"/>
      <c r="L27" s="92"/>
      <c r="N27" s="62"/>
    </row>
    <row r="28" spans="1:15" s="32" customFormat="1" ht="19.5" customHeight="1">
      <c r="A28" s="34"/>
      <c r="C28" s="339" t="s">
        <v>396</v>
      </c>
      <c r="D28" s="93"/>
      <c r="E28" s="94"/>
      <c r="F28" s="94"/>
      <c r="G28" s="94"/>
      <c r="H28" s="94"/>
      <c r="I28" s="94"/>
      <c r="J28" s="94"/>
      <c r="K28" s="94"/>
      <c r="L28" s="94"/>
      <c r="N28" s="33"/>
    </row>
    <row r="29" spans="1:15" s="32" customFormat="1" ht="19.5" customHeight="1">
      <c r="A29" s="34"/>
      <c r="B29" s="48"/>
      <c r="C29" s="339"/>
      <c r="D29" s="93"/>
      <c r="E29" s="94"/>
      <c r="F29" s="94"/>
      <c r="G29" s="94"/>
      <c r="H29" s="94"/>
      <c r="I29" s="94"/>
      <c r="J29" s="94"/>
      <c r="K29" s="94"/>
      <c r="L29" s="94"/>
      <c r="N29" s="33"/>
    </row>
    <row r="30" spans="1:15" s="32" customFormat="1" ht="19.5" customHeight="1">
      <c r="A30" s="34"/>
      <c r="B30" s="48"/>
      <c r="D30" s="93"/>
      <c r="E30" s="94"/>
      <c r="F30" s="94"/>
      <c r="G30" s="94"/>
      <c r="H30" s="94"/>
      <c r="I30" s="94"/>
      <c r="J30" s="94"/>
      <c r="K30" s="94"/>
      <c r="L30" s="94"/>
      <c r="N30" s="33"/>
    </row>
    <row r="31" spans="1:15" s="32" customFormat="1">
      <c r="A31" s="34"/>
      <c r="C31" s="48"/>
      <c r="D31" s="430"/>
      <c r="E31" s="432"/>
      <c r="F31" s="432"/>
      <c r="G31" s="432"/>
      <c r="H31" s="432"/>
      <c r="I31" s="432"/>
      <c r="J31" s="432"/>
      <c r="K31" s="432"/>
      <c r="L31" s="432"/>
      <c r="M31" s="118"/>
      <c r="N31" s="33"/>
    </row>
    <row r="32" spans="1:15">
      <c r="C32" s="48"/>
      <c r="D32" s="431"/>
      <c r="E32" s="432"/>
      <c r="F32" s="432"/>
      <c r="G32" s="432"/>
      <c r="H32" s="432"/>
      <c r="I32" s="432"/>
      <c r="J32" s="432"/>
      <c r="K32" s="432"/>
      <c r="L32" s="432"/>
      <c r="M32" s="121"/>
    </row>
    <row r="33" spans="3:12">
      <c r="C33" s="48"/>
      <c r="E33" s="1292"/>
      <c r="F33" s="1292"/>
      <c r="G33" s="1292"/>
      <c r="H33" s="1292"/>
      <c r="I33" s="1292"/>
      <c r="J33" s="1292"/>
      <c r="K33" s="1292"/>
      <c r="L33" s="1292"/>
    </row>
    <row r="34" spans="3:12">
      <c r="C34" s="95"/>
    </row>
  </sheetData>
  <mergeCells count="25">
    <mergeCell ref="L5:L6"/>
    <mergeCell ref="C1:D1"/>
    <mergeCell ref="C3:D3"/>
    <mergeCell ref="E5:H5"/>
    <mergeCell ref="I5:I6"/>
    <mergeCell ref="J5:K5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6:D26"/>
    <mergeCell ref="C20:D20"/>
    <mergeCell ref="C21:D21"/>
    <mergeCell ref="C22:D22"/>
    <mergeCell ref="C23:D23"/>
    <mergeCell ref="C24:D24"/>
    <mergeCell ref="C25:D25"/>
  </mergeCells>
  <phoneticPr fontId="3" type="noConversion"/>
  <pageMargins left="0.39370078740157483" right="0.39370078740157483" top="0.62992125984251968" bottom="0.59055118110236227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view="pageBreakPreview" zoomScale="85" zoomScaleNormal="90" zoomScaleSheetLayoutView="85" workbookViewId="0">
      <selection activeCell="C32" sqref="C32:C33"/>
    </sheetView>
  </sheetViews>
  <sheetFormatPr defaultRowHeight="9.75"/>
  <cols>
    <col min="1" max="1" width="19" style="108" customWidth="1"/>
    <col min="2" max="2" width="3.85546875" style="108" customWidth="1"/>
    <col min="3" max="3" width="38.28515625" style="108" customWidth="1"/>
    <col min="4" max="7" width="22.42578125" style="108" customWidth="1"/>
    <col min="8" max="19" width="0" style="108" hidden="1" customWidth="1"/>
    <col min="20" max="20" width="0.85546875" style="108" customWidth="1"/>
    <col min="21" max="16384" width="9.140625" style="108"/>
  </cols>
  <sheetData>
    <row r="1" spans="1:20" s="98" customFormat="1" ht="37.5" customHeight="1">
      <c r="A1" s="809"/>
      <c r="B1" s="96"/>
      <c r="C1" s="1405" t="s">
        <v>473</v>
      </c>
      <c r="D1" s="1405"/>
      <c r="E1" s="1405"/>
      <c r="F1" s="1405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98" customFormat="1" ht="19.5">
      <c r="A2" s="433"/>
      <c r="C2" s="99"/>
      <c r="D2" s="99"/>
      <c r="E2" s="99"/>
      <c r="F2" s="99"/>
    </row>
    <row r="3" spans="1:20" s="98" customFormat="1" ht="20.25" customHeight="1">
      <c r="A3" s="433"/>
      <c r="C3" s="100" t="s">
        <v>525</v>
      </c>
      <c r="D3" s="1406" t="s">
        <v>484</v>
      </c>
      <c r="E3" s="1408" t="s">
        <v>474</v>
      </c>
      <c r="F3" s="1409"/>
      <c r="G3" s="1410" t="s">
        <v>475</v>
      </c>
    </row>
    <row r="4" spans="1:20" s="98" customFormat="1" ht="20.25" customHeight="1">
      <c r="A4" s="433"/>
      <c r="C4" s="906" t="s">
        <v>75</v>
      </c>
      <c r="D4" s="1407"/>
      <c r="E4" s="917" t="s">
        <v>514</v>
      </c>
      <c r="F4" s="917" t="s">
        <v>515</v>
      </c>
      <c r="G4" s="1411"/>
    </row>
    <row r="5" spans="1:20" s="98" customFormat="1" ht="4.5" customHeight="1">
      <c r="A5" s="433"/>
      <c r="D5" s="1403"/>
      <c r="E5" s="1403"/>
      <c r="F5" s="1403"/>
      <c r="G5" s="1403"/>
    </row>
    <row r="6" spans="1:20" s="98" customFormat="1" ht="23.25" customHeight="1">
      <c r="A6" s="433"/>
      <c r="C6" s="1223" t="s">
        <v>516</v>
      </c>
      <c r="D6" s="1197">
        <v>1576.383</v>
      </c>
      <c r="E6" s="1198">
        <f>E7+E8</f>
        <v>122.44399999999999</v>
      </c>
      <c r="F6" s="1198">
        <f>F7+F8</f>
        <v>9.6340000000000003</v>
      </c>
      <c r="G6" s="1199">
        <f>G7+G8+1</f>
        <v>1712.3240000000001</v>
      </c>
    </row>
    <row r="7" spans="1:20" s="98" customFormat="1" ht="23.25" customHeight="1">
      <c r="A7" s="433"/>
      <c r="C7" s="670" t="s">
        <v>517</v>
      </c>
      <c r="D7" s="1200">
        <v>1144.4000000000001</v>
      </c>
      <c r="E7" s="1201">
        <v>110.127</v>
      </c>
      <c r="F7" s="1201">
        <v>8.2729999999999997</v>
      </c>
      <c r="G7" s="1202">
        <v>1262.7429999999999</v>
      </c>
    </row>
    <row r="8" spans="1:20" s="98" customFormat="1" ht="23.25" customHeight="1">
      <c r="A8" s="433"/>
      <c r="C8" s="670" t="s">
        <v>518</v>
      </c>
      <c r="D8" s="1200">
        <v>431.983</v>
      </c>
      <c r="E8" s="1201">
        <f>E11-E7-E9-E10</f>
        <v>12.317</v>
      </c>
      <c r="F8" s="1201">
        <f>F11-F7-F9-F10</f>
        <v>1.361</v>
      </c>
      <c r="G8" s="1202">
        <f>G11-G7-G9-G10-1</f>
        <v>448.58100000000002</v>
      </c>
    </row>
    <row r="9" spans="1:20" s="98" customFormat="1" ht="23.25" customHeight="1">
      <c r="A9" s="433"/>
      <c r="C9" s="670" t="s">
        <v>519</v>
      </c>
      <c r="D9" s="1203">
        <v>-706.41700000000003</v>
      </c>
      <c r="E9" s="1201">
        <v>-39.122999999999998</v>
      </c>
      <c r="F9" s="1201">
        <v>-4.3879999999999999</v>
      </c>
      <c r="G9" s="1202">
        <v>-754.27099999999996</v>
      </c>
      <c r="H9" s="103"/>
      <c r="I9" s="103"/>
      <c r="J9" s="103"/>
    </row>
    <row r="10" spans="1:20" s="98" customFormat="1" ht="23.25" customHeight="1">
      <c r="A10" s="433"/>
      <c r="C10" s="670" t="s">
        <v>520</v>
      </c>
      <c r="D10" s="1203">
        <v>-34.530999999999999</v>
      </c>
      <c r="E10" s="1201">
        <v>-44.445999999999998</v>
      </c>
      <c r="F10" s="1201">
        <v>-0.313</v>
      </c>
      <c r="G10" s="1202">
        <v>-79.313000000000002</v>
      </c>
      <c r="H10" s="103"/>
      <c r="I10" s="103"/>
      <c r="J10" s="103"/>
    </row>
    <row r="11" spans="1:20" s="98" customFormat="1" ht="23.25" customHeight="1">
      <c r="A11" s="433"/>
      <c r="C11" s="1223" t="s">
        <v>521</v>
      </c>
      <c r="D11" s="1197">
        <v>835.43499999999995</v>
      </c>
      <c r="E11" s="1198">
        <v>38.875</v>
      </c>
      <c r="F11" s="1198">
        <v>4.9329999999999998</v>
      </c>
      <c r="G11" s="1199">
        <v>878.74</v>
      </c>
      <c r="H11" s="103"/>
      <c r="I11" s="103"/>
      <c r="J11" s="103"/>
    </row>
    <row r="12" spans="1:20" s="98" customFormat="1" ht="23.25" customHeight="1">
      <c r="A12" s="433"/>
      <c r="C12" s="1223" t="s">
        <v>522</v>
      </c>
      <c r="D12" s="1197">
        <v>-50.600999999999999</v>
      </c>
      <c r="E12" s="1198">
        <v>-0.158</v>
      </c>
      <c r="F12" s="1198">
        <v>-9.1999999999999998E-2</v>
      </c>
      <c r="G12" s="1199">
        <v>-50.146000000000001</v>
      </c>
      <c r="H12" s="103"/>
      <c r="I12" s="103"/>
      <c r="J12" s="103"/>
    </row>
    <row r="13" spans="1:20" s="98" customFormat="1" ht="23.25" customHeight="1">
      <c r="A13" s="433"/>
      <c r="C13" s="907" t="s">
        <v>481</v>
      </c>
      <c r="D13" s="1204">
        <v>819.36500000000001</v>
      </c>
      <c r="E13" s="1205">
        <f t="shared" ref="E13:G13" si="0">E11+E12-E10</f>
        <v>83.162999999999997</v>
      </c>
      <c r="F13" s="1205">
        <f t="shared" si="0"/>
        <v>5.1539999999999999</v>
      </c>
      <c r="G13" s="1199">
        <f t="shared" si="0"/>
        <v>907.90700000000004</v>
      </c>
      <c r="H13" s="103"/>
      <c r="I13" s="103"/>
      <c r="J13" s="103"/>
    </row>
    <row r="14" spans="1:20" s="98" customFormat="1" ht="23.25" customHeight="1">
      <c r="A14" s="433"/>
      <c r="C14" s="1223" t="s">
        <v>523</v>
      </c>
      <c r="D14" s="1197">
        <v>784.83399999999995</v>
      </c>
      <c r="E14" s="1198">
        <f t="shared" ref="E14:G14" si="1">+E11+E12</f>
        <v>38.716999999999999</v>
      </c>
      <c r="F14" s="1198">
        <f t="shared" si="1"/>
        <v>4.8410000000000002</v>
      </c>
      <c r="G14" s="1199">
        <f t="shared" si="1"/>
        <v>828.59400000000005</v>
      </c>
      <c r="H14" s="103"/>
      <c r="I14" s="103"/>
      <c r="J14" s="103"/>
    </row>
    <row r="15" spans="1:20" s="98" customFormat="1" ht="23.25" customHeight="1" thickBot="1">
      <c r="A15" s="433"/>
      <c r="C15" s="671" t="s">
        <v>524</v>
      </c>
      <c r="D15" s="1206">
        <v>605.70500000000004</v>
      </c>
      <c r="E15" s="1207">
        <v>29.288</v>
      </c>
      <c r="F15" s="1207">
        <v>4.2080000000000002</v>
      </c>
      <c r="G15" s="1208">
        <v>637.47299999999996</v>
      </c>
      <c r="H15" s="103"/>
      <c r="I15" s="103"/>
      <c r="J15" s="103"/>
    </row>
    <row r="16" spans="1:20" s="98" customFormat="1" ht="27.75" customHeight="1">
      <c r="A16" s="433"/>
      <c r="C16" s="916"/>
      <c r="D16" s="915"/>
      <c r="E16" s="915"/>
      <c r="F16" s="915"/>
      <c r="G16" s="1354"/>
      <c r="H16" s="103"/>
      <c r="I16" s="103"/>
      <c r="J16" s="103"/>
    </row>
    <row r="17" spans="1:10" s="98" customFormat="1" ht="20.25" customHeight="1">
      <c r="A17" s="433"/>
      <c r="C17" s="100" t="s">
        <v>526</v>
      </c>
      <c r="D17" s="1406" t="s">
        <v>484</v>
      </c>
      <c r="E17" s="1408" t="s">
        <v>474</v>
      </c>
      <c r="F17" s="1409"/>
      <c r="G17" s="1410" t="s">
        <v>475</v>
      </c>
    </row>
    <row r="18" spans="1:10" s="98" customFormat="1" ht="20.25" customHeight="1">
      <c r="A18" s="433"/>
      <c r="C18" s="906" t="s">
        <v>75</v>
      </c>
      <c r="D18" s="1407"/>
      <c r="E18" s="917" t="s">
        <v>445</v>
      </c>
      <c r="F18" s="917" t="s">
        <v>476</v>
      </c>
      <c r="G18" s="1411"/>
    </row>
    <row r="19" spans="1:10" s="98" customFormat="1" ht="4.5" customHeight="1">
      <c r="A19" s="433"/>
      <c r="D19" s="1403"/>
      <c r="E19" s="1404"/>
      <c r="F19" s="1404"/>
      <c r="G19" s="1404"/>
    </row>
    <row r="20" spans="1:10" s="98" customFormat="1" ht="23.25" customHeight="1">
      <c r="A20" s="433"/>
      <c r="C20" s="1223" t="s">
        <v>477</v>
      </c>
      <c r="D20" s="1293">
        <v>1448.7429999999999</v>
      </c>
      <c r="E20" s="1324">
        <f>E21+E22</f>
        <v>139.74299999999999</v>
      </c>
      <c r="F20" s="1324">
        <f>F21+F22</f>
        <v>11.02</v>
      </c>
      <c r="G20" s="1323">
        <f>G21+G22+1</f>
        <v>1596.152</v>
      </c>
    </row>
    <row r="21" spans="1:10" s="98" customFormat="1" ht="23.25" customHeight="1">
      <c r="A21" s="433"/>
      <c r="C21" s="670" t="s">
        <v>478</v>
      </c>
      <c r="D21" s="1294">
        <v>1165.5060000000001</v>
      </c>
      <c r="E21" s="1295">
        <v>113.709</v>
      </c>
      <c r="F21" s="1295">
        <v>9.141</v>
      </c>
      <c r="G21" s="1322">
        <v>1288.365</v>
      </c>
    </row>
    <row r="22" spans="1:10" s="98" customFormat="1" ht="23.25" customHeight="1">
      <c r="A22" s="433"/>
      <c r="C22" s="670" t="s">
        <v>479</v>
      </c>
      <c r="D22" s="1294">
        <v>283.23700000000002</v>
      </c>
      <c r="E22" s="1295">
        <f>E25-E21-E23-E24</f>
        <v>26.033999999999992</v>
      </c>
      <c r="F22" s="1295">
        <f>F25-F21-F23-F24</f>
        <v>1.879</v>
      </c>
      <c r="G22" s="1322">
        <f>G25-G21-G23-G24</f>
        <v>306.78700000000003</v>
      </c>
    </row>
    <row r="23" spans="1:10" s="98" customFormat="1" ht="23.25" customHeight="1">
      <c r="A23" s="433"/>
      <c r="C23" s="670" t="s">
        <v>480</v>
      </c>
      <c r="D23" s="1294">
        <v>-740.61199999999997</v>
      </c>
      <c r="E23" s="1295">
        <v>-38.786000000000001</v>
      </c>
      <c r="F23" s="1295">
        <v>-3.8719999999999999</v>
      </c>
      <c r="G23" s="1322">
        <v>-784.15700000000004</v>
      </c>
      <c r="H23" s="103"/>
      <c r="I23" s="103"/>
      <c r="J23" s="103"/>
    </row>
    <row r="24" spans="1:10" s="98" customFormat="1" ht="23.25" customHeight="1">
      <c r="A24" s="433"/>
      <c r="C24" s="670" t="s">
        <v>289</v>
      </c>
      <c r="D24" s="1294">
        <v>-150.61699999999999</v>
      </c>
      <c r="E24" s="1295">
        <v>-54.695999999999998</v>
      </c>
      <c r="F24" s="1295">
        <v>0.82799999999999996</v>
      </c>
      <c r="G24" s="1322">
        <v>-204.48099999999999</v>
      </c>
      <c r="H24" s="103"/>
      <c r="I24" s="103"/>
      <c r="J24" s="103"/>
    </row>
    <row r="25" spans="1:10" s="98" customFormat="1" ht="23.25" customHeight="1">
      <c r="A25" s="433"/>
      <c r="C25" s="1223" t="s">
        <v>73</v>
      </c>
      <c r="D25" s="1293">
        <v>557.51400000000001</v>
      </c>
      <c r="E25" s="1296">
        <v>46.261000000000003</v>
      </c>
      <c r="F25" s="1296">
        <v>7.976</v>
      </c>
      <c r="G25" s="1322">
        <v>606.51400000000001</v>
      </c>
      <c r="H25" s="103"/>
      <c r="I25" s="103"/>
      <c r="J25" s="103"/>
    </row>
    <row r="26" spans="1:10" s="98" customFormat="1" ht="23.25" customHeight="1">
      <c r="A26" s="433"/>
      <c r="C26" s="1223" t="s">
        <v>68</v>
      </c>
      <c r="D26" s="1294">
        <v>-1.0640000000000001</v>
      </c>
      <c r="E26" s="1295">
        <v>-3.2970000000000002</v>
      </c>
      <c r="F26" s="1295">
        <v>-7.8E-2</v>
      </c>
      <c r="G26" s="1322">
        <v>-5.1909999999999998</v>
      </c>
      <c r="H26" s="103"/>
      <c r="I26" s="103"/>
      <c r="J26" s="103"/>
    </row>
    <row r="27" spans="1:10" s="98" customFormat="1" ht="23.25" customHeight="1">
      <c r="A27" s="433"/>
      <c r="C27" s="907" t="s">
        <v>481</v>
      </c>
      <c r="D27" s="1297">
        <v>707.06799999999998</v>
      </c>
      <c r="E27" s="1321">
        <f t="shared" ref="E27:G27" si="2">E25+E26-E24</f>
        <v>97.66</v>
      </c>
      <c r="F27" s="1321">
        <f t="shared" si="2"/>
        <v>7.0699999999999994</v>
      </c>
      <c r="G27" s="1320">
        <f t="shared" si="2"/>
        <v>805.80399999999997</v>
      </c>
      <c r="H27" s="103"/>
      <c r="I27" s="103"/>
      <c r="J27" s="103"/>
    </row>
    <row r="28" spans="1:10" s="98" customFormat="1" ht="23.25" customHeight="1">
      <c r="A28" s="433"/>
      <c r="C28" s="1223" t="s">
        <v>482</v>
      </c>
      <c r="D28" s="1293">
        <v>556.45100000000002</v>
      </c>
      <c r="E28" s="1296">
        <f t="shared" ref="E28:G28" si="3">+E25+E26</f>
        <v>42.964000000000006</v>
      </c>
      <c r="F28" s="1296">
        <f t="shared" si="3"/>
        <v>7.8979999999999997</v>
      </c>
      <c r="G28" s="1320">
        <f t="shared" si="3"/>
        <v>601.32299999999998</v>
      </c>
      <c r="H28" s="103"/>
      <c r="I28" s="103"/>
      <c r="J28" s="103"/>
    </row>
    <row r="29" spans="1:10" s="98" customFormat="1" ht="23.25" customHeight="1" thickBot="1">
      <c r="A29" s="433"/>
      <c r="C29" s="671" t="s">
        <v>483</v>
      </c>
      <c r="D29" s="1298">
        <v>426.34500000000003</v>
      </c>
      <c r="E29" s="1299">
        <v>32.642000000000003</v>
      </c>
      <c r="F29" s="1299">
        <v>7.798</v>
      </c>
      <c r="G29" s="1337">
        <v>460.846</v>
      </c>
      <c r="H29" s="103"/>
      <c r="I29" s="103"/>
      <c r="J29" s="103"/>
    </row>
    <row r="30" spans="1:10" s="98" customFormat="1" ht="17.25" customHeight="1">
      <c r="A30" s="102"/>
      <c r="C30" s="339" t="s">
        <v>396</v>
      </c>
      <c r="D30" s="339"/>
      <c r="E30" s="339"/>
      <c r="F30" s="339"/>
      <c r="G30" s="339"/>
      <c r="H30" s="103"/>
      <c r="I30" s="103"/>
      <c r="J30" s="103"/>
    </row>
    <row r="31" spans="1:10" s="98" customFormat="1" ht="17.25" customHeight="1">
      <c r="A31" s="102"/>
      <c r="C31" s="339" t="s">
        <v>485</v>
      </c>
      <c r="D31" s="434"/>
      <c r="E31" s="434"/>
      <c r="F31" s="434"/>
      <c r="G31" s="434"/>
      <c r="H31" s="103"/>
      <c r="I31" s="103"/>
      <c r="J31" s="103"/>
    </row>
    <row r="32" spans="1:10" s="98" customFormat="1" ht="11.25" customHeight="1">
      <c r="A32" s="102"/>
      <c r="C32" s="101"/>
      <c r="D32" s="104"/>
      <c r="E32" s="103"/>
      <c r="F32" s="103"/>
      <c r="G32" s="103"/>
      <c r="H32" s="103"/>
      <c r="I32" s="103"/>
      <c r="J32" s="103"/>
    </row>
    <row r="33" spans="1:6" s="107" customFormat="1">
      <c r="A33" s="108"/>
      <c r="B33" s="108"/>
      <c r="C33" s="108"/>
      <c r="D33" s="108"/>
      <c r="E33" s="108"/>
      <c r="F33" s="108"/>
    </row>
    <row r="34" spans="1:6" s="107" customFormat="1">
      <c r="A34" s="108"/>
      <c r="B34" s="108"/>
      <c r="C34" s="108"/>
      <c r="D34" s="108"/>
      <c r="E34" s="108"/>
      <c r="F34" s="108"/>
    </row>
    <row r="35" spans="1:6" s="107" customFormat="1">
      <c r="A35" s="108"/>
      <c r="B35" s="108"/>
      <c r="C35" s="108"/>
      <c r="D35" s="108"/>
      <c r="E35" s="108"/>
      <c r="F35" s="108"/>
    </row>
    <row r="36" spans="1:6" s="107" customFormat="1">
      <c r="A36" s="108"/>
      <c r="B36" s="108"/>
      <c r="C36" s="108"/>
      <c r="D36" s="108"/>
      <c r="E36" s="108"/>
      <c r="F36" s="108"/>
    </row>
    <row r="37" spans="1:6" s="107" customFormat="1">
      <c r="A37" s="108"/>
      <c r="B37" s="108"/>
      <c r="C37" s="108"/>
      <c r="D37" s="108"/>
      <c r="E37" s="108"/>
      <c r="F37" s="108"/>
    </row>
    <row r="38" spans="1:6" s="107" customFormat="1">
      <c r="A38" s="108"/>
      <c r="B38" s="108"/>
      <c r="C38" s="108"/>
      <c r="D38" s="108"/>
      <c r="E38" s="108"/>
      <c r="F38" s="108"/>
    </row>
    <row r="39" spans="1:6" s="107" customFormat="1">
      <c r="A39" s="108"/>
      <c r="B39" s="108"/>
      <c r="C39" s="108"/>
      <c r="D39" s="108"/>
      <c r="E39" s="108"/>
      <c r="F39" s="108"/>
    </row>
    <row r="40" spans="1:6" s="107" customFormat="1">
      <c r="A40" s="108"/>
      <c r="B40" s="108"/>
      <c r="C40" s="108"/>
      <c r="D40" s="108"/>
      <c r="E40" s="108"/>
      <c r="F40" s="108"/>
    </row>
    <row r="41" spans="1:6" s="107" customFormat="1">
      <c r="A41" s="108"/>
      <c r="B41" s="108"/>
      <c r="C41" s="108"/>
      <c r="D41" s="108"/>
      <c r="E41" s="108"/>
      <c r="F41" s="108"/>
    </row>
    <row r="42" spans="1:6" s="107" customFormat="1">
      <c r="A42" s="108"/>
      <c r="B42" s="108"/>
      <c r="C42" s="108"/>
      <c r="D42" s="108"/>
      <c r="E42" s="108"/>
      <c r="F42" s="108"/>
    </row>
    <row r="43" spans="1:6" s="107" customFormat="1">
      <c r="A43" s="108"/>
      <c r="B43" s="108"/>
      <c r="C43" s="108"/>
      <c r="D43" s="108"/>
      <c r="E43" s="108"/>
      <c r="F43" s="108"/>
    </row>
    <row r="44" spans="1:6" s="107" customFormat="1">
      <c r="A44" s="108"/>
      <c r="B44" s="108"/>
      <c r="C44" s="108"/>
      <c r="D44" s="108"/>
      <c r="E44" s="108"/>
      <c r="F44" s="108"/>
    </row>
    <row r="45" spans="1:6" s="107" customFormat="1">
      <c r="A45" s="108"/>
      <c r="B45" s="108"/>
      <c r="C45" s="108"/>
      <c r="D45" s="108"/>
      <c r="E45" s="108"/>
      <c r="F45" s="108"/>
    </row>
    <row r="46" spans="1:6" s="107" customFormat="1">
      <c r="A46" s="108"/>
      <c r="B46" s="108"/>
      <c r="C46" s="108"/>
      <c r="D46" s="108"/>
      <c r="E46" s="108"/>
      <c r="F46" s="108"/>
    </row>
    <row r="47" spans="1:6" s="107" customFormat="1">
      <c r="A47" s="108"/>
      <c r="B47" s="108"/>
      <c r="C47" s="108"/>
      <c r="D47" s="108"/>
      <c r="E47" s="108"/>
      <c r="F47" s="108"/>
    </row>
    <row r="48" spans="1:6" s="107" customFormat="1">
      <c r="A48" s="108"/>
      <c r="B48" s="108"/>
      <c r="C48" s="108"/>
      <c r="D48" s="108"/>
      <c r="E48" s="108"/>
      <c r="F48" s="108"/>
    </row>
    <row r="49" spans="1:6" s="107" customFormat="1">
      <c r="A49" s="108"/>
      <c r="B49" s="108"/>
      <c r="C49" s="108"/>
      <c r="D49" s="108"/>
      <c r="E49" s="108"/>
      <c r="F49" s="108"/>
    </row>
    <row r="50" spans="1:6" s="107" customFormat="1">
      <c r="A50" s="108"/>
      <c r="B50" s="108"/>
      <c r="C50" s="108"/>
      <c r="D50" s="108"/>
      <c r="E50" s="108"/>
      <c r="F50" s="108"/>
    </row>
  </sheetData>
  <mergeCells count="9">
    <mergeCell ref="D19:G19"/>
    <mergeCell ref="C1:F1"/>
    <mergeCell ref="D3:D4"/>
    <mergeCell ref="E3:F3"/>
    <mergeCell ref="G3:G4"/>
    <mergeCell ref="D5:G5"/>
    <mergeCell ref="D17:D18"/>
    <mergeCell ref="E17:F17"/>
    <mergeCell ref="G17:G1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90" zoomScaleNormal="100" zoomScaleSheetLayoutView="90" workbookViewId="0">
      <selection activeCell="C32" sqref="C32:C33"/>
    </sheetView>
  </sheetViews>
  <sheetFormatPr defaultRowHeight="8.25"/>
  <cols>
    <col min="1" max="1" width="17.85546875" style="116" customWidth="1"/>
    <col min="2" max="2" width="6.140625" style="116" customWidth="1"/>
    <col min="3" max="3" width="26.7109375" style="133" customWidth="1"/>
    <col min="4" max="4" width="12.7109375" style="116" customWidth="1"/>
    <col min="5" max="5" width="0.85546875" style="116" customWidth="1"/>
    <col min="6" max="6" width="12.7109375" style="116" customWidth="1"/>
    <col min="7" max="7" width="1.42578125" style="116" customWidth="1"/>
    <col min="8" max="8" width="12.7109375" style="116" customWidth="1"/>
    <col min="9" max="9" width="1.28515625" style="116" customWidth="1"/>
    <col min="10" max="10" width="12.7109375" style="116" customWidth="1"/>
    <col min="11" max="11" width="1.42578125" style="116" customWidth="1"/>
    <col min="12" max="12" width="12.7109375" style="116" customWidth="1"/>
    <col min="13" max="13" width="1.28515625" style="116" customWidth="1"/>
    <col min="14" max="14" width="12.7109375" style="116" customWidth="1"/>
    <col min="15" max="15" width="2" style="134" customWidth="1"/>
    <col min="16" max="16" width="1.140625" style="116" customWidth="1"/>
    <col min="17" max="17" width="5.5703125" style="116" customWidth="1"/>
    <col min="18" max="18" width="1.140625" style="116" customWidth="1"/>
    <col min="19" max="19" width="4.7109375" style="116" customWidth="1"/>
    <col min="20" max="20" width="1.140625" style="116" customWidth="1"/>
    <col min="21" max="22" width="4" style="116" customWidth="1"/>
    <col min="23" max="23" width="1.42578125" style="116" hidden="1" customWidth="1"/>
    <col min="24" max="24" width="4.28515625" style="116" customWidth="1"/>
    <col min="25" max="25" width="1.140625" style="116" customWidth="1"/>
    <col min="26" max="26" width="5.5703125" style="116" customWidth="1"/>
    <col min="27" max="27" width="1.140625" style="116" customWidth="1"/>
    <col min="28" max="28" width="4.7109375" style="116" customWidth="1"/>
    <col min="29" max="29" width="1.140625" style="116" customWidth="1"/>
    <col min="30" max="30" width="3.7109375" style="116" customWidth="1"/>
    <col min="31" max="31" width="4" style="116" customWidth="1"/>
    <col min="32" max="16384" width="9.140625" style="116"/>
  </cols>
  <sheetData>
    <row r="1" spans="1:31" s="112" customFormat="1" ht="30" customHeight="1">
      <c r="A1" s="810"/>
      <c r="B1" s="109"/>
      <c r="C1" s="1224" t="s">
        <v>430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</row>
    <row r="2" spans="1:31" s="112" customFormat="1" ht="8.25" customHeight="1">
      <c r="A2" s="113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1" s="112" customFormat="1" ht="6.75" customHeight="1">
      <c r="A3" s="113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</row>
    <row r="4" spans="1:31" s="112" customFormat="1" ht="15" customHeight="1">
      <c r="A4" s="113"/>
      <c r="C4" s="114" t="s">
        <v>397</v>
      </c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</row>
    <row r="5" spans="1:31" s="112" customFormat="1" ht="7.5" customHeight="1">
      <c r="A5" s="113"/>
      <c r="C5" s="114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</row>
    <row r="6" spans="1:31" s="112" customFormat="1" ht="8.25" customHeight="1">
      <c r="A6" s="113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1:31" ht="16.5" customHeight="1">
      <c r="A7" s="115"/>
      <c r="C7" s="117"/>
      <c r="D7" s="1413" t="s">
        <v>502</v>
      </c>
      <c r="E7" s="1413"/>
      <c r="F7" s="1414"/>
      <c r="G7" s="574"/>
      <c r="H7" s="1413" t="s">
        <v>498</v>
      </c>
      <c r="I7" s="1413"/>
      <c r="J7" s="1414"/>
      <c r="K7" s="574"/>
      <c r="L7" s="1413" t="s">
        <v>492</v>
      </c>
      <c r="M7" s="1413"/>
      <c r="N7" s="1414"/>
      <c r="O7" s="1412"/>
      <c r="P7" s="1412"/>
      <c r="Q7" s="1412"/>
      <c r="R7" s="1412"/>
      <c r="S7" s="1412"/>
      <c r="T7" s="1412"/>
      <c r="U7" s="1412"/>
      <c r="V7" s="1412"/>
      <c r="W7" s="118"/>
      <c r="X7" s="1412"/>
      <c r="Y7" s="1412"/>
      <c r="Z7" s="1412"/>
      <c r="AA7" s="1412"/>
      <c r="AB7" s="1412"/>
      <c r="AC7" s="1412"/>
      <c r="AD7" s="1412"/>
      <c r="AE7" s="1412"/>
    </row>
    <row r="8" spans="1:31" ht="16.5" customHeight="1">
      <c r="A8" s="115"/>
      <c r="C8" s="484" t="s">
        <v>75</v>
      </c>
      <c r="D8" s="575" t="s">
        <v>187</v>
      </c>
      <c r="E8" s="576"/>
      <c r="F8" s="577" t="s">
        <v>225</v>
      </c>
      <c r="G8" s="578"/>
      <c r="H8" s="575" t="s">
        <v>187</v>
      </c>
      <c r="I8" s="576"/>
      <c r="J8" s="577" t="s">
        <v>225</v>
      </c>
      <c r="K8" s="578"/>
      <c r="L8" s="575" t="s">
        <v>187</v>
      </c>
      <c r="M8" s="576"/>
      <c r="N8" s="577" t="s">
        <v>225</v>
      </c>
      <c r="O8" s="119"/>
      <c r="P8" s="119"/>
      <c r="Q8" s="120"/>
      <c r="R8" s="119"/>
      <c r="S8" s="120"/>
      <c r="T8" s="119"/>
      <c r="U8" s="119"/>
      <c r="V8" s="105"/>
      <c r="W8" s="118"/>
      <c r="X8" s="119"/>
      <c r="Y8" s="119"/>
      <c r="Z8" s="120"/>
      <c r="AA8" s="119"/>
      <c r="AB8" s="120"/>
      <c r="AC8" s="119"/>
      <c r="AD8" s="119"/>
      <c r="AE8" s="105"/>
    </row>
    <row r="9" spans="1:31" ht="28.5" customHeight="1">
      <c r="A9" s="115"/>
      <c r="C9" s="670" t="s">
        <v>354</v>
      </c>
      <c r="D9" s="1085">
        <v>86008.75</v>
      </c>
      <c r="E9" s="992"/>
      <c r="F9" s="1026">
        <f>D9/$D$14</f>
        <v>0.42322511723311756</v>
      </c>
      <c r="G9" s="567"/>
      <c r="H9" s="1085">
        <v>82358.38</v>
      </c>
      <c r="I9" s="992"/>
      <c r="J9" s="1026">
        <f>H9/$H$14</f>
        <v>0.41633411981891866</v>
      </c>
      <c r="K9" s="567"/>
      <c r="L9" s="1085">
        <v>84819.664000000004</v>
      </c>
      <c r="M9" s="566"/>
      <c r="N9" s="1300">
        <f>L9/$L$14</f>
        <v>0.43000280897076409</v>
      </c>
      <c r="O9" s="121"/>
      <c r="P9" s="121"/>
      <c r="Q9" s="122"/>
      <c r="R9" s="121"/>
      <c r="S9" s="121"/>
      <c r="T9" s="121"/>
      <c r="U9" s="123"/>
      <c r="V9" s="124"/>
      <c r="W9" s="121"/>
      <c r="X9" s="121"/>
      <c r="Y9" s="121"/>
      <c r="Z9" s="121"/>
      <c r="AA9" s="121"/>
      <c r="AB9" s="121"/>
      <c r="AC9" s="121"/>
      <c r="AD9" s="121"/>
      <c r="AE9" s="124"/>
    </row>
    <row r="10" spans="1:31" ht="28.5" customHeight="1">
      <c r="A10" s="115"/>
      <c r="C10" s="670" t="s">
        <v>436</v>
      </c>
      <c r="D10" s="1085">
        <v>112372.41800000001</v>
      </c>
      <c r="E10" s="992"/>
      <c r="F10" s="1026">
        <f>D10/$D$14</f>
        <v>0.55295338883333256</v>
      </c>
      <c r="G10" s="567"/>
      <c r="H10" s="1085">
        <v>111488.391</v>
      </c>
      <c r="I10" s="992"/>
      <c r="J10" s="1026">
        <f t="shared" ref="J10:J14" si="0">H10/$H$14</f>
        <v>0.56359074980606039</v>
      </c>
      <c r="K10" s="567"/>
      <c r="L10" s="1085">
        <v>108541.77499999999</v>
      </c>
      <c r="M10" s="566"/>
      <c r="N10" s="1300">
        <f t="shared" ref="N10:N14" si="1">L10/$L$14</f>
        <v>0.55026471386013331</v>
      </c>
      <c r="O10" s="121"/>
      <c r="P10" s="121"/>
      <c r="Q10" s="122"/>
      <c r="R10" s="121"/>
      <c r="S10" s="121"/>
      <c r="T10" s="121"/>
      <c r="U10" s="123"/>
      <c r="V10" s="124"/>
      <c r="W10" s="121"/>
      <c r="X10" s="121"/>
      <c r="Y10" s="121"/>
      <c r="Z10" s="121"/>
      <c r="AA10" s="121"/>
      <c r="AB10" s="121"/>
      <c r="AC10" s="121"/>
      <c r="AD10" s="121"/>
      <c r="AE10" s="124"/>
    </row>
    <row r="11" spans="1:31" ht="28.5" customHeight="1">
      <c r="A11" s="115"/>
      <c r="C11" s="670" t="s">
        <v>529</v>
      </c>
      <c r="D11" s="1085">
        <v>103305.319</v>
      </c>
      <c r="E11" s="992"/>
      <c r="F11" s="1026">
        <f>D11/$D$14</f>
        <v>0.50833671858479057</v>
      </c>
      <c r="G11" s="567"/>
      <c r="H11" s="1085">
        <v>103279.44</v>
      </c>
      <c r="I11" s="992"/>
      <c r="J11" s="1026">
        <f t="shared" si="0"/>
        <v>0.52209325569287324</v>
      </c>
      <c r="K11" s="567"/>
      <c r="L11" s="1085">
        <v>101147.442</v>
      </c>
      <c r="M11" s="566"/>
      <c r="N11" s="1300">
        <f t="shared" si="1"/>
        <v>0.51277831258807438</v>
      </c>
      <c r="O11" s="121"/>
      <c r="P11" s="121"/>
      <c r="Q11" s="122"/>
      <c r="R11" s="121"/>
      <c r="S11" s="121"/>
      <c r="T11" s="121"/>
      <c r="U11" s="123"/>
      <c r="V11" s="124"/>
      <c r="W11" s="121"/>
      <c r="X11" s="121"/>
      <c r="Y11" s="121"/>
      <c r="Z11" s="121"/>
      <c r="AA11" s="121"/>
      <c r="AB11" s="121"/>
      <c r="AC11" s="121"/>
      <c r="AD11" s="121"/>
      <c r="AE11" s="124"/>
    </row>
    <row r="12" spans="1:31" ht="28.5" customHeight="1">
      <c r="A12" s="115"/>
      <c r="C12" s="670" t="s">
        <v>530</v>
      </c>
      <c r="D12" s="1085">
        <v>4841.0569999999998</v>
      </c>
      <c r="E12" s="992"/>
      <c r="F12" s="1026">
        <f>D12/$D$14</f>
        <v>2.3821493933549834E-2</v>
      </c>
      <c r="G12" s="567"/>
      <c r="H12" s="1085">
        <v>3971.223</v>
      </c>
      <c r="I12" s="992"/>
      <c r="J12" s="1026">
        <f t="shared" si="0"/>
        <v>2.0075135430172929E-2</v>
      </c>
      <c r="K12" s="567"/>
      <c r="L12" s="1085">
        <v>3892.3049999999998</v>
      </c>
      <c r="M12" s="566"/>
      <c r="N12" s="1300">
        <f t="shared" si="1"/>
        <v>1.9732477169102553E-2</v>
      </c>
      <c r="O12" s="121"/>
      <c r="P12" s="121"/>
      <c r="Q12" s="122"/>
      <c r="R12" s="121"/>
      <c r="S12" s="121"/>
      <c r="T12" s="121"/>
      <c r="U12" s="123"/>
      <c r="V12" s="124"/>
      <c r="W12" s="121"/>
      <c r="X12" s="121"/>
      <c r="Y12" s="121"/>
      <c r="Z12" s="121"/>
      <c r="AA12" s="121"/>
      <c r="AB12" s="121"/>
      <c r="AC12" s="121"/>
      <c r="AD12" s="121"/>
      <c r="AE12" s="124"/>
    </row>
    <row r="13" spans="1:31" ht="28.5" customHeight="1">
      <c r="A13" s="115"/>
      <c r="C13" s="672" t="s">
        <v>531</v>
      </c>
      <c r="D13" s="1086">
        <v>4792.7389999999996</v>
      </c>
      <c r="E13" s="993"/>
      <c r="F13" s="1026">
        <f>D13/$D$14</f>
        <v>2.3583734505416419E-2</v>
      </c>
      <c r="G13" s="570"/>
      <c r="H13" s="1086">
        <v>3627.4319999999998</v>
      </c>
      <c r="I13" s="993"/>
      <c r="J13" s="1026">
        <f t="shared" si="0"/>
        <v>1.8337219708825982E-2</v>
      </c>
      <c r="K13" s="570"/>
      <c r="L13" s="1086">
        <v>3758.8049999999998</v>
      </c>
      <c r="M13" s="569"/>
      <c r="N13" s="1300">
        <f t="shared" si="1"/>
        <v>1.9055683931657082E-2</v>
      </c>
      <c r="O13" s="121"/>
      <c r="P13" s="121"/>
      <c r="Q13" s="122"/>
      <c r="R13" s="121"/>
      <c r="S13" s="121"/>
      <c r="T13" s="121"/>
      <c r="U13" s="123"/>
      <c r="V13" s="124"/>
      <c r="W13" s="121"/>
      <c r="X13" s="121"/>
      <c r="Y13" s="121"/>
      <c r="Z13" s="121"/>
      <c r="AA13" s="121"/>
      <c r="AB13" s="121"/>
      <c r="AC13" s="121"/>
      <c r="AD13" s="121"/>
      <c r="AE13" s="124"/>
    </row>
    <row r="14" spans="1:31" ht="28.5" customHeight="1" thickBot="1">
      <c r="A14" s="115"/>
      <c r="C14" s="671" t="s">
        <v>79</v>
      </c>
      <c r="D14" s="994">
        <v>203222.22500000001</v>
      </c>
      <c r="E14" s="995">
        <f>E9+E10+E12</f>
        <v>0</v>
      </c>
      <c r="F14" s="1027">
        <f>F9+F10+F12</f>
        <v>0.99999999999999989</v>
      </c>
      <c r="G14" s="573"/>
      <c r="H14" s="994">
        <v>197817.99299999999</v>
      </c>
      <c r="I14" s="995">
        <f>I9+I10+I12</f>
        <v>0</v>
      </c>
      <c r="J14" s="1305">
        <f t="shared" si="0"/>
        <v>1</v>
      </c>
      <c r="K14" s="1302"/>
      <c r="L14" s="1303">
        <f>L9+L10+L12</f>
        <v>197253.74400000001</v>
      </c>
      <c r="M14" s="1304">
        <f>M9+M10+M12</f>
        <v>0</v>
      </c>
      <c r="N14" s="1306">
        <f t="shared" si="1"/>
        <v>1</v>
      </c>
      <c r="O14" s="121"/>
      <c r="P14" s="121"/>
      <c r="Q14" s="122"/>
      <c r="R14" s="121"/>
      <c r="S14" s="121"/>
      <c r="T14" s="121"/>
      <c r="U14" s="126"/>
      <c r="V14" s="127"/>
      <c r="W14" s="121"/>
      <c r="X14" s="121"/>
      <c r="Y14" s="121"/>
      <c r="Z14" s="121"/>
      <c r="AA14" s="121"/>
      <c r="AB14" s="121"/>
      <c r="AC14" s="121"/>
      <c r="AD14" s="121"/>
      <c r="AE14" s="127"/>
    </row>
    <row r="15" spans="1:31" ht="16.5" customHeight="1">
      <c r="A15" s="115"/>
      <c r="C15" s="435"/>
      <c r="D15" s="128"/>
      <c r="E15" s="128"/>
      <c r="F15" s="1301"/>
      <c r="G15" s="121"/>
      <c r="H15" s="128"/>
      <c r="I15" s="128"/>
      <c r="J15" s="1301"/>
      <c r="K15" s="121"/>
      <c r="L15" s="128"/>
      <c r="M15" s="128"/>
      <c r="N15" s="1301"/>
      <c r="O15" s="121"/>
      <c r="P15" s="121"/>
      <c r="Q15" s="121"/>
      <c r="R15" s="121"/>
      <c r="S15" s="121"/>
      <c r="T15" s="121"/>
      <c r="U15" s="126"/>
      <c r="V15" s="127"/>
      <c r="W15" s="121"/>
      <c r="X15" s="121"/>
      <c r="Y15" s="121"/>
      <c r="Z15" s="121"/>
      <c r="AA15" s="121"/>
      <c r="AB15" s="121"/>
      <c r="AC15" s="121"/>
      <c r="AD15" s="121"/>
      <c r="AE15" s="127"/>
    </row>
    <row r="16" spans="1:31" ht="16.5" customHeight="1">
      <c r="A16" s="115"/>
      <c r="C16" s="130"/>
      <c r="D16" s="131"/>
      <c r="E16" s="131"/>
      <c r="F16" s="132"/>
      <c r="G16" s="131"/>
      <c r="H16" s="131" t="s">
        <v>532</v>
      </c>
      <c r="I16" s="131"/>
      <c r="J16" s="131"/>
      <c r="K16" s="131"/>
      <c r="L16" s="131" t="s">
        <v>532</v>
      </c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</row>
    <row r="17" spans="1:31" ht="16.5" customHeight="1">
      <c r="A17" s="115"/>
      <c r="C17" s="117"/>
      <c r="D17" s="1413" t="s">
        <v>527</v>
      </c>
      <c r="E17" s="1413"/>
      <c r="F17" s="1414"/>
      <c r="G17" s="574"/>
      <c r="H17" s="1413" t="s">
        <v>486</v>
      </c>
      <c r="I17" s="1413"/>
      <c r="J17" s="1414"/>
      <c r="K17" s="574"/>
      <c r="L17" s="1413" t="s">
        <v>528</v>
      </c>
      <c r="M17" s="1413"/>
      <c r="N17" s="1414"/>
      <c r="O17" s="131"/>
      <c r="P17" s="131"/>
      <c r="Q17" s="131"/>
      <c r="R17" s="131"/>
      <c r="S17" s="131"/>
      <c r="T17" s="131"/>
      <c r="U17" s="131"/>
      <c r="V17" s="131"/>
      <c r="W17" s="112"/>
      <c r="X17" s="112"/>
      <c r="Y17" s="112"/>
      <c r="Z17" s="112"/>
      <c r="AA17" s="112"/>
      <c r="AB17" s="112"/>
      <c r="AC17" s="112"/>
      <c r="AD17" s="112"/>
      <c r="AE17" s="112"/>
    </row>
    <row r="18" spans="1:31" ht="16.5" customHeight="1">
      <c r="A18" s="115"/>
      <c r="C18" s="484" t="s">
        <v>533</v>
      </c>
      <c r="D18" s="575" t="s">
        <v>534</v>
      </c>
      <c r="E18" s="576"/>
      <c r="F18" s="577" t="s">
        <v>535</v>
      </c>
      <c r="G18" s="578"/>
      <c r="H18" s="575" t="s">
        <v>534</v>
      </c>
      <c r="I18" s="576"/>
      <c r="J18" s="577" t="s">
        <v>535</v>
      </c>
      <c r="K18" s="578"/>
      <c r="L18" s="575" t="s">
        <v>534</v>
      </c>
      <c r="M18" s="576"/>
      <c r="N18" s="577" t="s">
        <v>535</v>
      </c>
      <c r="P18" s="134"/>
      <c r="Q18" s="134"/>
      <c r="R18" s="134"/>
      <c r="S18" s="134"/>
      <c r="T18" s="134"/>
      <c r="U18" s="134"/>
      <c r="V18" s="134"/>
    </row>
    <row r="19" spans="1:31" ht="28.5" customHeight="1">
      <c r="A19" s="115"/>
      <c r="C19" s="670" t="s">
        <v>536</v>
      </c>
      <c r="D19" s="565">
        <v>80007.717999999993</v>
      </c>
      <c r="E19" s="566"/>
      <c r="F19" s="1300">
        <f>D19/$D$24</f>
        <v>0.40518860606515111</v>
      </c>
      <c r="G19" s="583"/>
      <c r="H19" s="565">
        <v>82777.161999999997</v>
      </c>
      <c r="I19" s="566"/>
      <c r="J19" s="1300">
        <f>H19/$H$24</f>
        <v>0.42356749772575397</v>
      </c>
      <c r="K19" s="583"/>
      <c r="L19" s="565">
        <v>82936.661999999997</v>
      </c>
      <c r="M19" s="566"/>
      <c r="N19" s="1300">
        <f>L19/$L$24</f>
        <v>0.42477990135131999</v>
      </c>
      <c r="P19" s="134"/>
      <c r="Q19" s="122"/>
      <c r="R19" s="134"/>
      <c r="S19" s="134"/>
      <c r="T19" s="134"/>
      <c r="U19" s="134"/>
      <c r="V19" s="134"/>
    </row>
    <row r="20" spans="1:31" ht="28.5" customHeight="1">
      <c r="A20" s="115"/>
      <c r="C20" s="670" t="s">
        <v>537</v>
      </c>
      <c r="D20" s="565">
        <v>113437.94899999999</v>
      </c>
      <c r="E20" s="566"/>
      <c r="F20" s="1300">
        <f t="shared" ref="F20:F24" si="2">D20/$D$24</f>
        <v>0.57449163129736691</v>
      </c>
      <c r="G20" s="583"/>
      <c r="H20" s="565">
        <v>108810.683</v>
      </c>
      <c r="I20" s="566"/>
      <c r="J20" s="1300">
        <f t="shared" ref="J20:J24" si="3">H20/$H$24</f>
        <v>0.55678000562691721</v>
      </c>
      <c r="K20" s="583"/>
      <c r="L20" s="565">
        <v>109002.02</v>
      </c>
      <c r="M20" s="566"/>
      <c r="N20" s="1300">
        <f t="shared" ref="N20:N24" si="4">L20/$L$24</f>
        <v>0.55827985098670374</v>
      </c>
      <c r="P20" s="134"/>
      <c r="Q20" s="122"/>
      <c r="R20" s="134"/>
      <c r="S20" s="134"/>
      <c r="T20" s="134"/>
      <c r="U20" s="134"/>
      <c r="V20" s="134"/>
    </row>
    <row r="21" spans="1:31" ht="28.5" customHeight="1">
      <c r="A21" s="115"/>
      <c r="C21" s="670" t="s">
        <v>77</v>
      </c>
      <c r="D21" s="565">
        <v>106093.34699999999</v>
      </c>
      <c r="E21" s="566"/>
      <c r="F21" s="1300">
        <f t="shared" si="2"/>
        <v>0.53729585667868174</v>
      </c>
      <c r="G21" s="583"/>
      <c r="H21" s="565">
        <v>101627.022</v>
      </c>
      <c r="I21" s="566"/>
      <c r="J21" s="1300">
        <f t="shared" si="3"/>
        <v>0.52002149348705806</v>
      </c>
      <c r="K21" s="583"/>
      <c r="L21" s="565">
        <v>101925.145</v>
      </c>
      <c r="M21" s="566"/>
      <c r="N21" s="1300">
        <f t="shared" si="4"/>
        <v>0.52203394728279506</v>
      </c>
      <c r="P21" s="134"/>
      <c r="Q21" s="122"/>
      <c r="R21" s="134"/>
      <c r="S21" s="134"/>
      <c r="T21" s="134"/>
      <c r="U21" s="134"/>
      <c r="V21" s="134"/>
    </row>
    <row r="22" spans="1:31" ht="28.5" customHeight="1">
      <c r="A22" s="115"/>
      <c r="C22" s="670" t="s">
        <v>435</v>
      </c>
      <c r="D22" s="565">
        <v>4012.299</v>
      </c>
      <c r="E22" s="566"/>
      <c r="F22" s="1300">
        <f t="shared" si="2"/>
        <v>2.0319762637482048E-2</v>
      </c>
      <c r="G22" s="583"/>
      <c r="H22" s="565">
        <v>3840.6579999999999</v>
      </c>
      <c r="I22" s="566"/>
      <c r="J22" s="1300">
        <f t="shared" si="3"/>
        <v>1.965249664732887E-2</v>
      </c>
      <c r="K22" s="583"/>
      <c r="L22" s="565">
        <v>3307.5189999999998</v>
      </c>
      <c r="M22" s="566"/>
      <c r="N22" s="1300">
        <f t="shared" si="4"/>
        <v>1.6940247661976274E-2</v>
      </c>
      <c r="P22" s="134"/>
      <c r="Q22" s="122"/>
      <c r="R22" s="134"/>
      <c r="S22" s="134"/>
      <c r="T22" s="134"/>
      <c r="U22" s="134"/>
      <c r="V22" s="134"/>
    </row>
    <row r="23" spans="1:31" ht="28.5" customHeight="1">
      <c r="A23" s="115"/>
      <c r="C23" s="672" t="s">
        <v>78</v>
      </c>
      <c r="D23" s="568">
        <v>3777.078</v>
      </c>
      <c r="E23" s="569"/>
      <c r="F23" s="1300">
        <f t="shared" si="2"/>
        <v>1.9128516699093316E-2</v>
      </c>
      <c r="G23" s="584"/>
      <c r="H23" s="568">
        <v>3778.2170000000001</v>
      </c>
      <c r="I23" s="569"/>
      <c r="J23" s="1300">
        <f t="shared" si="3"/>
        <v>1.9332988494518633E-2</v>
      </c>
      <c r="K23" s="584"/>
      <c r="L23" s="568">
        <v>3233.915</v>
      </c>
      <c r="M23" s="569"/>
      <c r="N23" s="1300">
        <f t="shared" si="4"/>
        <v>1.6563267215632022E-2</v>
      </c>
      <c r="P23" s="134"/>
      <c r="Q23" s="122"/>
      <c r="R23" s="134"/>
      <c r="S23" s="134"/>
      <c r="T23" s="134"/>
      <c r="U23" s="134"/>
      <c r="V23" s="134"/>
    </row>
    <row r="24" spans="1:31" ht="28.5" customHeight="1" thickBot="1">
      <c r="A24" s="115"/>
      <c r="C24" s="671" t="s">
        <v>79</v>
      </c>
      <c r="D24" s="571">
        <f>D19+D20+D22</f>
        <v>197457.96599999999</v>
      </c>
      <c r="E24" s="572">
        <f>E19+E20+E22</f>
        <v>0</v>
      </c>
      <c r="F24" s="1306">
        <f t="shared" si="2"/>
        <v>1</v>
      </c>
      <c r="G24" s="1308"/>
      <c r="H24" s="1307">
        <f>H19+H20+H22</f>
        <v>195428.503</v>
      </c>
      <c r="I24" s="1304">
        <f>I19+I20+I22</f>
        <v>0</v>
      </c>
      <c r="J24" s="1306">
        <f t="shared" si="3"/>
        <v>1</v>
      </c>
      <c r="K24" s="1308"/>
      <c r="L24" s="1307">
        <f>L19+L20+L22</f>
        <v>195246.201</v>
      </c>
      <c r="M24" s="1304">
        <f>M19+M20+M22</f>
        <v>0</v>
      </c>
      <c r="N24" s="1306">
        <f t="shared" si="4"/>
        <v>1</v>
      </c>
      <c r="P24" s="134"/>
      <c r="Q24" s="135"/>
      <c r="R24" s="134"/>
      <c r="S24" s="134"/>
      <c r="T24" s="134"/>
      <c r="U24" s="134"/>
      <c r="V24" s="134"/>
    </row>
    <row r="25" spans="1:31" ht="11.25">
      <c r="A25" s="115"/>
      <c r="C25" s="128"/>
      <c r="D25" s="128"/>
      <c r="E25" s="128"/>
      <c r="F25" s="1301"/>
      <c r="G25" s="121"/>
      <c r="H25" s="128"/>
      <c r="I25" s="128"/>
      <c r="J25" s="1301"/>
      <c r="K25" s="121"/>
      <c r="L25" s="128"/>
      <c r="M25" s="128"/>
      <c r="N25" s="1301"/>
      <c r="P25" s="134"/>
      <c r="Q25" s="134"/>
      <c r="R25" s="134"/>
      <c r="S25" s="134"/>
      <c r="T25" s="134"/>
      <c r="U25" s="134"/>
      <c r="V25" s="134"/>
    </row>
    <row r="26" spans="1:31" ht="10.5">
      <c r="A26" s="115"/>
      <c r="C26" s="106" t="s">
        <v>80</v>
      </c>
      <c r="P26" s="134"/>
      <c r="Q26" s="134"/>
      <c r="R26" s="134"/>
      <c r="S26" s="134"/>
      <c r="T26" s="134"/>
      <c r="U26" s="134"/>
      <c r="V26" s="134"/>
    </row>
    <row r="27" spans="1:31" ht="10.5">
      <c r="A27" s="115"/>
      <c r="C27" s="106" t="s">
        <v>437</v>
      </c>
    </row>
    <row r="28" spans="1:31" ht="10.5">
      <c r="A28" s="115"/>
      <c r="C28" s="106" t="s">
        <v>81</v>
      </c>
    </row>
    <row r="29" spans="1:31">
      <c r="A29" s="115"/>
    </row>
    <row r="30" spans="1:31" ht="10.5">
      <c r="A30" s="115"/>
      <c r="C30" s="106"/>
    </row>
    <row r="31" spans="1:31">
      <c r="A31" s="115"/>
    </row>
  </sheetData>
  <mergeCells count="8">
    <mergeCell ref="O7:V7"/>
    <mergeCell ref="X7:AE7"/>
    <mergeCell ref="D17:F17"/>
    <mergeCell ref="H17:J17"/>
    <mergeCell ref="L17:N17"/>
    <mergeCell ref="D7:F7"/>
    <mergeCell ref="H7:J7"/>
    <mergeCell ref="L7:N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92" orientation="landscape" useFirstPageNumber="1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topLeftCell="A10" zoomScaleNormal="100" zoomScaleSheetLayoutView="100" workbookViewId="0">
      <selection activeCell="C32" sqref="C32:C33"/>
    </sheetView>
  </sheetViews>
  <sheetFormatPr defaultRowHeight="11.25"/>
  <cols>
    <col min="1" max="1" width="19.28515625" style="142" customWidth="1"/>
    <col min="2" max="2" width="4.7109375" style="142" customWidth="1"/>
    <col min="3" max="3" width="21.5703125" style="166" customWidth="1"/>
    <col min="4" max="14" width="11.140625" style="142" customWidth="1"/>
    <col min="15" max="15" width="1.7109375" style="142" customWidth="1"/>
    <col min="16" max="16" width="12.28515625" style="142" customWidth="1"/>
    <col min="17" max="17" width="1.7109375" style="142" customWidth="1"/>
    <col min="18" max="18" width="0.7109375" style="142" customWidth="1"/>
    <col min="19" max="16384" width="9.140625" style="142"/>
  </cols>
  <sheetData>
    <row r="1" spans="1:30" s="118" customFormat="1" ht="30" customHeight="1">
      <c r="A1" s="810"/>
      <c r="B1" s="137"/>
      <c r="C1" s="627" t="s">
        <v>82</v>
      </c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7"/>
      <c r="U1" s="627"/>
      <c r="V1" s="627"/>
      <c r="W1" s="627"/>
      <c r="X1" s="627"/>
      <c r="Y1" s="627"/>
      <c r="Z1" s="627"/>
      <c r="AA1" s="627"/>
      <c r="AB1" s="627"/>
      <c r="AC1" s="627"/>
      <c r="AD1" s="627"/>
    </row>
    <row r="2" spans="1:30" s="118" customFormat="1" ht="19.5" customHeight="1">
      <c r="A2" s="138"/>
      <c r="C2" s="139"/>
      <c r="R2" s="121"/>
    </row>
    <row r="3" spans="1:30" s="118" customFormat="1" ht="19.5" customHeight="1">
      <c r="A3" s="138"/>
      <c r="C3" s="140"/>
      <c r="R3" s="121"/>
    </row>
    <row r="4" spans="1:30" ht="17.25">
      <c r="A4" s="141"/>
      <c r="C4" s="22" t="s">
        <v>398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30">
      <c r="A5" s="141"/>
      <c r="C5" s="135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</row>
    <row r="6" spans="1:30" ht="21.75" customHeight="1">
      <c r="A6" s="141"/>
      <c r="C6" s="144" t="s">
        <v>83</v>
      </c>
      <c r="D6" s="39" t="s">
        <v>417</v>
      </c>
      <c r="E6" s="39" t="s">
        <v>434</v>
      </c>
      <c r="F6" s="39" t="s">
        <v>462</v>
      </c>
      <c r="G6" s="39" t="s">
        <v>467</v>
      </c>
      <c r="H6" s="39" t="s">
        <v>469</v>
      </c>
      <c r="I6" s="39" t="s">
        <v>471</v>
      </c>
      <c r="J6" s="39" t="s">
        <v>486</v>
      </c>
      <c r="K6" s="39" t="s">
        <v>490</v>
      </c>
      <c r="L6" s="39" t="s">
        <v>492</v>
      </c>
      <c r="M6" s="39" t="s">
        <v>498</v>
      </c>
      <c r="N6" s="39" t="s">
        <v>502</v>
      </c>
      <c r="O6" s="145"/>
      <c r="P6" s="146"/>
      <c r="Q6" s="146"/>
      <c r="R6" s="147"/>
    </row>
    <row r="7" spans="1:30" ht="22.5" customHeight="1">
      <c r="A7" s="141"/>
      <c r="C7" s="673" t="s">
        <v>85</v>
      </c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148"/>
      <c r="P7" s="136"/>
      <c r="Q7" s="149"/>
      <c r="R7" s="121"/>
    </row>
    <row r="8" spans="1:30" ht="22.5" customHeight="1">
      <c r="A8" s="844"/>
      <c r="C8" s="674" t="s">
        <v>86</v>
      </c>
      <c r="D8" s="388">
        <f t="shared" ref="D8:H8" si="0">SUM(D9:D10)</f>
        <v>105842.5</v>
      </c>
      <c r="E8" s="388">
        <f t="shared" si="0"/>
        <v>110565.3</v>
      </c>
      <c r="F8" s="388">
        <f t="shared" si="0"/>
        <v>113410.382</v>
      </c>
      <c r="G8" s="388">
        <f t="shared" si="0"/>
        <v>117710.9</v>
      </c>
      <c r="H8" s="388">
        <f t="shared" si="0"/>
        <v>113482.3</v>
      </c>
      <c r="I8" s="388">
        <f t="shared" ref="I8:N8" si="1">SUM(I9:I10)</f>
        <v>114013.7</v>
      </c>
      <c r="J8" s="388">
        <f t="shared" si="1"/>
        <v>114516.7</v>
      </c>
      <c r="K8" s="388">
        <f t="shared" si="1"/>
        <v>111602</v>
      </c>
      <c r="L8" s="783">
        <f t="shared" si="1"/>
        <v>110162.9</v>
      </c>
      <c r="M8" s="783">
        <f t="shared" si="1"/>
        <v>108895.3</v>
      </c>
      <c r="N8" s="783">
        <f t="shared" si="1"/>
        <v>109368.943</v>
      </c>
      <c r="O8" s="150"/>
      <c r="P8" s="918">
        <f>+N8/M8-1</f>
        <v>4.3495265635891123E-3</v>
      </c>
      <c r="Q8" s="122"/>
      <c r="R8" s="152"/>
      <c r="S8" s="919">
        <f>+N8/J8-1</f>
        <v>-4.495202009837862E-2</v>
      </c>
      <c r="T8" s="153"/>
    </row>
    <row r="9" spans="1:30" ht="22.5" customHeight="1">
      <c r="A9" s="844"/>
      <c r="C9" s="675" t="s">
        <v>87</v>
      </c>
      <c r="D9" s="388">
        <v>65381</v>
      </c>
      <c r="E9" s="388">
        <v>67710.600000000006</v>
      </c>
      <c r="F9" s="388">
        <v>69185.826000000001</v>
      </c>
      <c r="G9" s="388">
        <v>70670.399999999994</v>
      </c>
      <c r="H9" s="388">
        <v>69649.600000000006</v>
      </c>
      <c r="I9" s="388">
        <v>70207</v>
      </c>
      <c r="J9" s="388">
        <v>70477.5</v>
      </c>
      <c r="K9" s="388">
        <v>71472</v>
      </c>
      <c r="L9" s="783">
        <v>70814.2</v>
      </c>
      <c r="M9" s="783">
        <v>72078</v>
      </c>
      <c r="N9" s="783">
        <v>73306.759000000005</v>
      </c>
      <c r="O9" s="150"/>
      <c r="P9" s="918">
        <f t="shared" ref="P9:P12" si="2">+N9/M9-1</f>
        <v>1.7047628957518324E-2</v>
      </c>
      <c r="Q9" s="122"/>
      <c r="R9" s="152"/>
      <c r="S9" s="919">
        <f t="shared" ref="S9:S12" si="3">+N9/J9-1</f>
        <v>4.0144145294597644E-2</v>
      </c>
      <c r="T9" s="153"/>
      <c r="Z9" s="436"/>
    </row>
    <row r="10" spans="1:30" ht="22.5" customHeight="1">
      <c r="A10" s="844"/>
      <c r="C10" s="675" t="s">
        <v>88</v>
      </c>
      <c r="D10" s="388">
        <v>40461.5</v>
      </c>
      <c r="E10" s="388">
        <v>42854.7</v>
      </c>
      <c r="F10" s="388">
        <v>44224.555999999997</v>
      </c>
      <c r="G10" s="388">
        <v>47040.5</v>
      </c>
      <c r="H10" s="388">
        <v>43832.7</v>
      </c>
      <c r="I10" s="388">
        <v>43806.7</v>
      </c>
      <c r="J10" s="388">
        <v>44039.199999999997</v>
      </c>
      <c r="K10" s="388">
        <v>40130</v>
      </c>
      <c r="L10" s="783">
        <v>39348.699999999997</v>
      </c>
      <c r="M10" s="783">
        <v>36817.300000000003</v>
      </c>
      <c r="N10" s="783">
        <v>36062.184000000001</v>
      </c>
      <c r="O10" s="150"/>
      <c r="P10" s="918">
        <f t="shared" si="2"/>
        <v>-2.0509814679512073E-2</v>
      </c>
      <c r="Q10" s="122"/>
      <c r="R10" s="152"/>
      <c r="S10" s="919">
        <f t="shared" si="3"/>
        <v>-0.18113444385910726</v>
      </c>
      <c r="T10" s="153"/>
    </row>
    <row r="11" spans="1:30" ht="22.5" customHeight="1">
      <c r="A11" s="844"/>
      <c r="C11" s="674" t="s">
        <v>89</v>
      </c>
      <c r="D11" s="388">
        <v>79427.100000000006</v>
      </c>
      <c r="E11" s="388">
        <v>81606.5</v>
      </c>
      <c r="F11" s="388">
        <v>84353.600000000006</v>
      </c>
      <c r="G11" s="388">
        <v>88883.3</v>
      </c>
      <c r="H11" s="388">
        <v>92256.7</v>
      </c>
      <c r="I11" s="388">
        <v>95120.9</v>
      </c>
      <c r="J11" s="388">
        <v>99456</v>
      </c>
      <c r="K11" s="388">
        <v>99326.3</v>
      </c>
      <c r="L11" s="783">
        <v>102587.01</v>
      </c>
      <c r="M11" s="783">
        <v>103427.6</v>
      </c>
      <c r="N11" s="783">
        <v>104235.25199999999</v>
      </c>
      <c r="O11" s="150"/>
      <c r="P11" s="918">
        <f t="shared" si="2"/>
        <v>7.8088633981643341E-3</v>
      </c>
      <c r="Q11" s="122"/>
      <c r="R11" s="152"/>
      <c r="S11" s="919">
        <f t="shared" si="3"/>
        <v>4.8053933397683268E-2</v>
      </c>
      <c r="T11" s="153"/>
    </row>
    <row r="12" spans="1:30" ht="22.5" customHeight="1">
      <c r="A12" s="844"/>
      <c r="C12" s="674" t="s">
        <v>90</v>
      </c>
      <c r="D12" s="388">
        <v>6639</v>
      </c>
      <c r="E12" s="388">
        <v>5969.6</v>
      </c>
      <c r="F12" s="388">
        <v>5487</v>
      </c>
      <c r="G12" s="388">
        <v>5172.3999999999996</v>
      </c>
      <c r="H12" s="388">
        <v>5103.3999999999996</v>
      </c>
      <c r="I12" s="388">
        <v>4735.2</v>
      </c>
      <c r="J12" s="388">
        <v>4108.6000000000004</v>
      </c>
      <c r="K12" s="388">
        <v>3858.1</v>
      </c>
      <c r="L12" s="783">
        <v>3862.2</v>
      </c>
      <c r="M12" s="783">
        <v>3436.3</v>
      </c>
      <c r="N12" s="783">
        <v>3227.6619999999998</v>
      </c>
      <c r="O12" s="150"/>
      <c r="P12" s="918">
        <f t="shared" si="2"/>
        <v>-6.0715886273026376E-2</v>
      </c>
      <c r="Q12" s="122"/>
      <c r="R12" s="152"/>
      <c r="S12" s="919">
        <f t="shared" si="3"/>
        <v>-0.21441318210582694</v>
      </c>
      <c r="T12" s="153"/>
    </row>
    <row r="13" spans="1:30" ht="22.5" customHeight="1" thickBot="1">
      <c r="A13" s="141"/>
      <c r="C13" s="676" t="s">
        <v>92</v>
      </c>
      <c r="D13" s="580">
        <f t="shared" ref="D13:H13" si="4">D8+D11+D12</f>
        <v>191908.6</v>
      </c>
      <c r="E13" s="580">
        <f t="shared" si="4"/>
        <v>198141.4</v>
      </c>
      <c r="F13" s="580">
        <f t="shared" si="4"/>
        <v>203250.98200000002</v>
      </c>
      <c r="G13" s="580">
        <f t="shared" si="4"/>
        <v>211766.6</v>
      </c>
      <c r="H13" s="580">
        <f t="shared" si="4"/>
        <v>210842.4</v>
      </c>
      <c r="I13" s="580">
        <f>I8+I11+I12</f>
        <v>213869.8</v>
      </c>
      <c r="J13" s="580">
        <f>J8+J11+J12</f>
        <v>218081.30000000002</v>
      </c>
      <c r="K13" s="580">
        <f>K8+K11+K12</f>
        <v>214786.4</v>
      </c>
      <c r="L13" s="1031">
        <f>L8+L11+L12</f>
        <v>216612.11</v>
      </c>
      <c r="M13" s="1031">
        <v>215759.2</v>
      </c>
      <c r="N13" s="1031">
        <f>N8+N11+N12</f>
        <v>216831.85700000002</v>
      </c>
      <c r="O13" s="154"/>
      <c r="P13" s="918">
        <f>+N13/M13-1</f>
        <v>4.9715469838598203E-3</v>
      </c>
      <c r="Q13" s="135"/>
      <c r="R13" s="129"/>
      <c r="S13" s="919">
        <f>+N13/J13-1</f>
        <v>-5.7292532647228445E-3</v>
      </c>
      <c r="T13" s="153"/>
    </row>
    <row r="14" spans="1:30" ht="16.899999999999999" customHeight="1">
      <c r="A14" s="141"/>
      <c r="C14" s="15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36"/>
    </row>
    <row r="15" spans="1:30" ht="16.899999999999999" customHeight="1">
      <c r="A15" s="141"/>
      <c r="C15" s="135"/>
      <c r="D15" s="122"/>
      <c r="E15" s="122"/>
      <c r="F15" s="843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36"/>
    </row>
    <row r="16" spans="1:30" ht="16.899999999999999" customHeight="1">
      <c r="A16" s="141"/>
      <c r="C16" s="22" t="s">
        <v>399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1"/>
    </row>
    <row r="17" spans="1:18" ht="11.25" customHeight="1">
      <c r="A17" s="141"/>
      <c r="C17" s="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1"/>
    </row>
    <row r="18" spans="1:18" ht="21.75" customHeight="1">
      <c r="A18" s="141"/>
      <c r="C18" s="144" t="s">
        <v>93</v>
      </c>
      <c r="D18" s="39" t="str">
        <f t="shared" ref="D18:N18" si="5">D6</f>
        <v>4Q14</v>
      </c>
      <c r="E18" s="39" t="str">
        <f t="shared" si="5"/>
        <v>1Q15</v>
      </c>
      <c r="F18" s="39" t="str">
        <f t="shared" si="5"/>
        <v>2Q15</v>
      </c>
      <c r="G18" s="39" t="str">
        <f t="shared" si="5"/>
        <v>3Q15</v>
      </c>
      <c r="H18" s="39" t="str">
        <f t="shared" si="5"/>
        <v>4Q15</v>
      </c>
      <c r="I18" s="39" t="str">
        <f t="shared" si="5"/>
        <v>1Q16</v>
      </c>
      <c r="J18" s="39" t="str">
        <f t="shared" si="5"/>
        <v>2Q16</v>
      </c>
      <c r="K18" s="39" t="str">
        <f t="shared" si="5"/>
        <v>3Q16</v>
      </c>
      <c r="L18" s="39" t="str">
        <f t="shared" si="5"/>
        <v>4Q16</v>
      </c>
      <c r="M18" s="39" t="str">
        <f t="shared" si="5"/>
        <v>1Q17</v>
      </c>
      <c r="N18" s="39" t="str">
        <f t="shared" si="5"/>
        <v>2Q17</v>
      </c>
      <c r="O18" s="145"/>
      <c r="P18" s="147"/>
      <c r="Q18" s="147"/>
      <c r="R18" s="147"/>
    </row>
    <row r="19" spans="1:18" ht="22.5" customHeight="1">
      <c r="A19" s="141"/>
      <c r="C19" s="673" t="s">
        <v>84</v>
      </c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  <c r="O19" s="148"/>
      <c r="P19" s="158"/>
      <c r="Q19" s="158"/>
      <c r="R19" s="121"/>
    </row>
    <row r="20" spans="1:18" ht="22.5" customHeight="1">
      <c r="A20" s="141"/>
      <c r="C20" s="674" t="s">
        <v>86</v>
      </c>
      <c r="D20" s="581">
        <f t="shared" ref="D20:I20" si="6">D21+D22</f>
        <v>55.152556998487825</v>
      </c>
      <c r="E20" s="581">
        <f t="shared" si="6"/>
        <v>55.801210650575804</v>
      </c>
      <c r="F20" s="581">
        <f t="shared" si="6"/>
        <v>55.798196340325674</v>
      </c>
      <c r="G20" s="581">
        <f t="shared" si="6"/>
        <v>55.585205598994364</v>
      </c>
      <c r="H20" s="581">
        <f t="shared" si="6"/>
        <v>53.823282224068791</v>
      </c>
      <c r="I20" s="581">
        <f t="shared" si="6"/>
        <v>53.309864225804674</v>
      </c>
      <c r="J20" s="581">
        <f>J21+J22</f>
        <v>52.511013094657812</v>
      </c>
      <c r="K20" s="581">
        <f>K21+K22</f>
        <v>51.95952816379436</v>
      </c>
      <c r="L20" s="581">
        <f>L21+L22</f>
        <v>50.85722123292183</v>
      </c>
      <c r="M20" s="581">
        <f>M21+M22</f>
        <v>50.470756287565024</v>
      </c>
      <c r="N20" s="581">
        <f>N21+N22</f>
        <v>50.439517750382961</v>
      </c>
      <c r="O20" s="150"/>
      <c r="P20" s="159"/>
      <c r="Q20" s="159"/>
      <c r="R20" s="151"/>
    </row>
    <row r="21" spans="1:18" ht="22.5" customHeight="1">
      <c r="A21" s="141"/>
      <c r="C21" s="675" t="s">
        <v>87</v>
      </c>
      <c r="D21" s="581">
        <f t="shared" ref="D21:I21" si="7">(D9/D13*100)</f>
        <v>34.068822345637457</v>
      </c>
      <c r="E21" s="581">
        <f t="shared" si="7"/>
        <v>34.172868466660681</v>
      </c>
      <c r="F21" s="581">
        <f t="shared" si="7"/>
        <v>34.039602327727003</v>
      </c>
      <c r="G21" s="581">
        <f t="shared" si="7"/>
        <v>33.371834840810585</v>
      </c>
      <c r="H21" s="581">
        <f t="shared" si="7"/>
        <v>33.033962808239714</v>
      </c>
      <c r="I21" s="581">
        <f t="shared" si="7"/>
        <v>32.826981649583061</v>
      </c>
      <c r="J21" s="581">
        <f>(J9/J13*100)</f>
        <v>32.317076246335652</v>
      </c>
      <c r="K21" s="581">
        <f>(K9/K13*100)</f>
        <v>33.275849867589386</v>
      </c>
      <c r="L21" s="581">
        <f>(L9/L13*100)</f>
        <v>32.691708695326405</v>
      </c>
      <c r="M21" s="581">
        <f>(M9/M13*100)</f>
        <v>33.406686713706762</v>
      </c>
      <c r="N21" s="581">
        <f>(N9/N13*100)</f>
        <v>33.808112891824749</v>
      </c>
      <c r="O21" s="150"/>
      <c r="P21" s="159"/>
      <c r="Q21" s="159"/>
      <c r="R21" s="151"/>
    </row>
    <row r="22" spans="1:18" ht="22.5" customHeight="1">
      <c r="A22" s="141"/>
      <c r="C22" s="675" t="s">
        <v>88</v>
      </c>
      <c r="D22" s="581">
        <f t="shared" ref="D22:I22" si="8">(D10/D13*100)</f>
        <v>21.083734652850367</v>
      </c>
      <c r="E22" s="581">
        <f t="shared" si="8"/>
        <v>21.628342183915123</v>
      </c>
      <c r="F22" s="581">
        <f t="shared" si="8"/>
        <v>21.758594012598667</v>
      </c>
      <c r="G22" s="581">
        <f t="shared" si="8"/>
        <v>22.213370758183775</v>
      </c>
      <c r="H22" s="581">
        <f t="shared" si="8"/>
        <v>20.789319415829073</v>
      </c>
      <c r="I22" s="581">
        <f t="shared" si="8"/>
        <v>20.482882576221609</v>
      </c>
      <c r="J22" s="581">
        <f>(J10/J13*100)</f>
        <v>20.19393684832216</v>
      </c>
      <c r="K22" s="581">
        <f>(K10/K13*100)</f>
        <v>18.683678296204974</v>
      </c>
      <c r="L22" s="581">
        <f>(L10/L13*100)</f>
        <v>18.165512537595426</v>
      </c>
      <c r="M22" s="581">
        <f>(M10/M13*100)</f>
        <v>17.064069573858266</v>
      </c>
      <c r="N22" s="581">
        <f>(N10/N13*100)</f>
        <v>16.631404858558213</v>
      </c>
      <c r="O22" s="150"/>
      <c r="P22" s="159"/>
      <c r="Q22" s="159"/>
      <c r="R22" s="151"/>
    </row>
    <row r="23" spans="1:18" ht="22.5" customHeight="1">
      <c r="A23" s="141"/>
      <c r="C23" s="674" t="s">
        <v>89</v>
      </c>
      <c r="D23" s="581">
        <f t="shared" ref="D23:I23" si="9">(D11/D13*100)</f>
        <v>41.387983654718965</v>
      </c>
      <c r="E23" s="581">
        <f t="shared" si="9"/>
        <v>41.185991418249799</v>
      </c>
      <c r="F23" s="581">
        <f t="shared" si="9"/>
        <v>41.502185706536956</v>
      </c>
      <c r="G23" s="581">
        <f t="shared" si="9"/>
        <v>41.972294025592326</v>
      </c>
      <c r="H23" s="581">
        <f t="shared" si="9"/>
        <v>43.756236885939451</v>
      </c>
      <c r="I23" s="581">
        <f t="shared" si="9"/>
        <v>44.476078436506697</v>
      </c>
      <c r="J23" s="581">
        <f>(J11/J13*100)</f>
        <v>45.605010608429055</v>
      </c>
      <c r="K23" s="581">
        <f>(K11/K13*100)</f>
        <v>46.244222166766612</v>
      </c>
      <c r="L23" s="581">
        <f>(L11/L13*100)</f>
        <v>47.3597759608177</v>
      </c>
      <c r="M23" s="581">
        <f>(M11/M13*100)</f>
        <v>47.93658856725461</v>
      </c>
      <c r="N23" s="581">
        <f>(N11/N13*100)</f>
        <v>48.071926995487566</v>
      </c>
      <c r="O23" s="150"/>
      <c r="P23" s="159"/>
      <c r="Q23" s="159"/>
      <c r="R23" s="151"/>
    </row>
    <row r="24" spans="1:18" ht="22.5" customHeight="1">
      <c r="A24" s="141"/>
      <c r="C24" s="674" t="s">
        <v>90</v>
      </c>
      <c r="D24" s="581">
        <f t="shared" ref="D24:I24" si="10">(D12/D13*100)</f>
        <v>3.4594593467932131</v>
      </c>
      <c r="E24" s="581">
        <f t="shared" si="10"/>
        <v>3.0127979311744038</v>
      </c>
      <c r="F24" s="581">
        <f t="shared" si="10"/>
        <v>2.6996179531373676</v>
      </c>
      <c r="G24" s="581">
        <f t="shared" si="10"/>
        <v>2.4425003754133088</v>
      </c>
      <c r="H24" s="581">
        <f t="shared" si="10"/>
        <v>2.420480889991766</v>
      </c>
      <c r="I24" s="581">
        <f t="shared" si="10"/>
        <v>2.2140573376886312</v>
      </c>
      <c r="J24" s="581">
        <f>(J12/J13*100)</f>
        <v>1.8839762969131237</v>
      </c>
      <c r="K24" s="581">
        <f>(K12/K13*100)</f>
        <v>1.7962496694390335</v>
      </c>
      <c r="L24" s="581">
        <f>(L12/L13*100)</f>
        <v>1.7830028062604624</v>
      </c>
      <c r="M24" s="581">
        <f>(M12/M13*100)</f>
        <v>1.5926551451803679</v>
      </c>
      <c r="N24" s="581">
        <f>(N12/N13*100)</f>
        <v>1.4885552541294704</v>
      </c>
      <c r="O24" s="150"/>
      <c r="P24" s="160"/>
      <c r="Q24" s="159"/>
      <c r="R24" s="151"/>
    </row>
    <row r="25" spans="1:18" ht="22.5" customHeight="1" thickBot="1">
      <c r="A25" s="141"/>
      <c r="C25" s="676" t="s">
        <v>91</v>
      </c>
      <c r="D25" s="582">
        <f t="shared" ref="D25:I25" si="11">D21+D22+D23+D24</f>
        <v>100</v>
      </c>
      <c r="E25" s="582">
        <f t="shared" si="11"/>
        <v>100.00000000000001</v>
      </c>
      <c r="F25" s="582">
        <f t="shared" si="11"/>
        <v>100</v>
      </c>
      <c r="G25" s="582">
        <f t="shared" si="11"/>
        <v>99.999999999999986</v>
      </c>
      <c r="H25" s="582">
        <f t="shared" si="11"/>
        <v>100.00000000000001</v>
      </c>
      <c r="I25" s="582">
        <f t="shared" si="11"/>
        <v>100</v>
      </c>
      <c r="J25" s="582">
        <f>J21+J22+J23+J24</f>
        <v>99.999999999999986</v>
      </c>
      <c r="K25" s="582">
        <f>K21+K22+K23+K24</f>
        <v>100.00000000000001</v>
      </c>
      <c r="L25" s="582">
        <f>L21+L22+L23+L24</f>
        <v>99.999999999999986</v>
      </c>
      <c r="M25" s="582">
        <f>M21+M22+M23+M24</f>
        <v>100</v>
      </c>
      <c r="N25" s="582">
        <f>N21+N22+N23+N24</f>
        <v>100</v>
      </c>
      <c r="O25" s="154"/>
      <c r="P25" s="161"/>
      <c r="Q25" s="162"/>
      <c r="R25" s="155"/>
    </row>
    <row r="26" spans="1:18">
      <c r="A26" s="141"/>
      <c r="C26" s="437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34"/>
    </row>
    <row r="27" spans="1:18" ht="15.75" customHeight="1">
      <c r="A27" s="141"/>
      <c r="C27" s="485" t="s">
        <v>94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34"/>
    </row>
    <row r="28" spans="1:18" ht="15.75" customHeight="1">
      <c r="A28" s="141"/>
      <c r="B28" s="165"/>
      <c r="C28" s="48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</row>
    <row r="29" spans="1:18">
      <c r="A29" s="141"/>
    </row>
    <row r="58" spans="2:18" s="165" customFormat="1">
      <c r="B58" s="142"/>
      <c r="C58" s="166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</row>
    <row r="64" spans="2:18" s="165" customFormat="1">
      <c r="B64" s="142"/>
      <c r="C64" s="166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</row>
    <row r="65" spans="2:18" s="165" customFormat="1">
      <c r="B65" s="142"/>
      <c r="C65" s="166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</row>
    <row r="81" spans="2:18" s="165" customFormat="1">
      <c r="B81" s="142"/>
      <c r="C81" s="166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</row>
    <row r="86" spans="2:18" s="165" customFormat="1">
      <c r="B86" s="142"/>
      <c r="C86" s="166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</row>
    <row r="87" spans="2:18" s="165" customFormat="1">
      <c r="B87" s="142"/>
      <c r="C87" s="166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</row>
  </sheetData>
  <phoneticPr fontId="3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zoomScale="91" zoomScaleNormal="90" zoomScaleSheetLayoutView="91" workbookViewId="0">
      <selection activeCell="C32" sqref="C32:C33"/>
    </sheetView>
  </sheetViews>
  <sheetFormatPr defaultRowHeight="15"/>
  <cols>
    <col min="1" max="1" width="20.42578125" style="77" customWidth="1"/>
    <col min="2" max="2" width="3.7109375" style="77" customWidth="1"/>
    <col min="3" max="3" width="29.140625" style="77" customWidth="1"/>
    <col min="4" max="4" width="6.28515625" style="77" customWidth="1"/>
    <col min="5" max="6" width="9.42578125" style="77" customWidth="1"/>
    <col min="7" max="7" width="8.28515625" style="77" customWidth="1"/>
    <col min="8" max="8" width="6.28515625" style="77" customWidth="1"/>
    <col min="9" max="9" width="9.42578125" style="77" customWidth="1"/>
    <col min="10" max="10" width="8.85546875" style="77" customWidth="1"/>
    <col min="11" max="11" width="9" style="77" customWidth="1"/>
    <col min="12" max="12" width="6.28515625" style="77" customWidth="1"/>
    <col min="13" max="14" width="9.42578125" style="77" customWidth="1"/>
    <col min="15" max="15" width="9.140625" style="77" customWidth="1"/>
    <col min="16" max="16" width="6.28515625" style="77" customWidth="1"/>
    <col min="17" max="18" width="9.42578125" style="77" customWidth="1"/>
    <col min="19" max="19" width="8" style="77" customWidth="1"/>
    <col min="20" max="16384" width="9.140625" style="77"/>
  </cols>
  <sheetData>
    <row r="1" spans="1:23" ht="37.5" customHeight="1">
      <c r="A1" s="811"/>
      <c r="B1" s="167"/>
      <c r="C1" s="626" t="s">
        <v>95</v>
      </c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</row>
    <row r="2" spans="1:23" ht="18" customHeight="1">
      <c r="A2" s="168"/>
    </row>
    <row r="3" spans="1:23" ht="18" customHeight="1">
      <c r="A3" s="168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23" ht="18" customHeight="1">
      <c r="A4" s="16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</row>
    <row r="5" spans="1:23" ht="18" customHeight="1">
      <c r="A5" s="16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</row>
    <row r="6" spans="1:23" ht="18" customHeight="1">
      <c r="A6" s="173"/>
      <c r="B6" s="108"/>
      <c r="C6" s="490"/>
      <c r="D6" s="490"/>
      <c r="E6" s="1415" t="s">
        <v>502</v>
      </c>
      <c r="F6" s="1415"/>
      <c r="G6" s="1415"/>
      <c r="H6" s="490"/>
      <c r="I6" s="1415" t="s">
        <v>498</v>
      </c>
      <c r="J6" s="1415"/>
      <c r="K6" s="1415"/>
      <c r="L6" s="490"/>
      <c r="M6" s="1415" t="s">
        <v>492</v>
      </c>
      <c r="N6" s="1415"/>
      <c r="O6" s="1415"/>
      <c r="P6" s="490"/>
      <c r="Q6" s="1415" t="s">
        <v>490</v>
      </c>
      <c r="R6" s="1415"/>
      <c r="S6" s="1415"/>
    </row>
    <row r="7" spans="1:23" ht="18" customHeight="1">
      <c r="A7" s="173"/>
      <c r="B7" s="108"/>
      <c r="C7" s="491" t="s">
        <v>76</v>
      </c>
      <c r="D7" s="491"/>
      <c r="E7" s="1419" t="s">
        <v>344</v>
      </c>
      <c r="F7" s="1419" t="s">
        <v>345</v>
      </c>
      <c r="G7" s="1416" t="s">
        <v>11</v>
      </c>
      <c r="H7" s="491"/>
      <c r="I7" s="1419" t="s">
        <v>344</v>
      </c>
      <c r="J7" s="1419" t="s">
        <v>345</v>
      </c>
      <c r="K7" s="1416" t="s">
        <v>11</v>
      </c>
      <c r="L7" s="491"/>
      <c r="M7" s="1419" t="s">
        <v>344</v>
      </c>
      <c r="N7" s="1419" t="s">
        <v>345</v>
      </c>
      <c r="O7" s="1416" t="s">
        <v>11</v>
      </c>
      <c r="P7" s="491"/>
      <c r="Q7" s="1419" t="s">
        <v>344</v>
      </c>
      <c r="R7" s="1419" t="s">
        <v>345</v>
      </c>
      <c r="S7" s="1416" t="s">
        <v>11</v>
      </c>
    </row>
    <row r="8" spans="1:23" ht="18" customHeight="1">
      <c r="A8" s="173"/>
      <c r="B8" s="108"/>
      <c r="C8" s="486" t="s">
        <v>96</v>
      </c>
      <c r="D8" s="825"/>
      <c r="E8" s="1420"/>
      <c r="F8" s="1420"/>
      <c r="G8" s="1417"/>
      <c r="H8" s="825"/>
      <c r="I8" s="1420"/>
      <c r="J8" s="1420"/>
      <c r="K8" s="1417"/>
      <c r="L8" s="825"/>
      <c r="M8" s="1420"/>
      <c r="N8" s="1420"/>
      <c r="O8" s="1417"/>
      <c r="P8" s="825"/>
      <c r="Q8" s="1420"/>
      <c r="R8" s="1420"/>
      <c r="S8" s="1417"/>
    </row>
    <row r="9" spans="1:23" ht="18.75" customHeight="1">
      <c r="A9" s="173"/>
      <c r="B9" s="108"/>
      <c r="C9" s="677" t="s">
        <v>97</v>
      </c>
      <c r="D9" s="489"/>
      <c r="E9" s="1309">
        <v>16622.927</v>
      </c>
      <c r="F9" s="1310">
        <v>0</v>
      </c>
      <c r="G9" s="586">
        <f>E9+F9</f>
        <v>16622.927</v>
      </c>
      <c r="H9" s="489"/>
      <c r="I9" s="1087">
        <v>17560.451000000001</v>
      </c>
      <c r="J9" s="1088">
        <v>0</v>
      </c>
      <c r="K9" s="586">
        <f>I9+J9</f>
        <v>17560.451000000001</v>
      </c>
      <c r="L9" s="489"/>
      <c r="M9" s="1087">
        <v>17742.182000000001</v>
      </c>
      <c r="N9" s="1088">
        <v>0</v>
      </c>
      <c r="O9" s="586">
        <f>M9+N9</f>
        <v>17742.182000000001</v>
      </c>
      <c r="P9" s="489"/>
      <c r="Q9" s="585">
        <v>20374.114000000001</v>
      </c>
      <c r="R9" s="807">
        <v>0</v>
      </c>
      <c r="S9" s="586">
        <f>Q9+R9</f>
        <v>20374.114000000001</v>
      </c>
      <c r="U9" s="179"/>
      <c r="V9" s="180"/>
      <c r="W9" s="181"/>
    </row>
    <row r="10" spans="1:23" ht="18.75" customHeight="1">
      <c r="A10" s="173"/>
      <c r="B10" s="108"/>
      <c r="C10" s="677" t="s">
        <v>98</v>
      </c>
      <c r="D10" s="489"/>
      <c r="E10" s="1309">
        <v>69121.538</v>
      </c>
      <c r="F10" s="1309">
        <v>0.156</v>
      </c>
      <c r="G10" s="586">
        <f>E10+F10</f>
        <v>69121.694000000003</v>
      </c>
      <c r="H10" s="489"/>
      <c r="I10" s="1087">
        <v>68046.884000000005</v>
      </c>
      <c r="J10" s="1087">
        <v>0</v>
      </c>
      <c r="K10" s="586">
        <f>I10+J10</f>
        <v>68046.884000000005</v>
      </c>
      <c r="L10" s="489"/>
      <c r="M10" s="1087">
        <v>66373.384999999995</v>
      </c>
      <c r="N10" s="1087">
        <v>0.02</v>
      </c>
      <c r="O10" s="586">
        <f>M10+N10</f>
        <v>66373.404999999999</v>
      </c>
      <c r="P10" s="489"/>
      <c r="Q10" s="585">
        <v>66650.835000000006</v>
      </c>
      <c r="R10" s="585">
        <v>0.02</v>
      </c>
      <c r="S10" s="586">
        <f>Q10+R10</f>
        <v>66650.85500000001</v>
      </c>
      <c r="U10" s="179"/>
      <c r="V10" s="179"/>
      <c r="W10" s="181"/>
    </row>
    <row r="11" spans="1:23" ht="18.75" customHeight="1" thickBot="1">
      <c r="A11" s="173"/>
      <c r="B11" s="108"/>
      <c r="C11" s="678" t="s">
        <v>99</v>
      </c>
      <c r="D11" s="489"/>
      <c r="E11" s="1311">
        <v>34151.362000000001</v>
      </c>
      <c r="F11" s="1311">
        <v>0</v>
      </c>
      <c r="G11" s="589">
        <f>E11+F11</f>
        <v>34151.362000000001</v>
      </c>
      <c r="H11" s="489"/>
      <c r="I11" s="1089">
        <v>33086.402999999998</v>
      </c>
      <c r="J11" s="1089">
        <v>0</v>
      </c>
      <c r="K11" s="589">
        <f>I11+J11</f>
        <v>33086.402999999998</v>
      </c>
      <c r="L11" s="489"/>
      <c r="M11" s="1089">
        <v>32234.438999999998</v>
      </c>
      <c r="N11" s="1089">
        <v>0.02</v>
      </c>
      <c r="O11" s="589">
        <f>M11+N11</f>
        <v>32234.458999999999</v>
      </c>
      <c r="P11" s="489"/>
      <c r="Q11" s="588">
        <v>31724.620999999999</v>
      </c>
      <c r="R11" s="588">
        <v>0.02</v>
      </c>
      <c r="S11" s="589">
        <f>Q11+R11</f>
        <v>31724.641</v>
      </c>
      <c r="U11" s="179"/>
      <c r="V11" s="179"/>
      <c r="W11" s="181"/>
    </row>
    <row r="12" spans="1:23" ht="18.75" customHeight="1" thickBot="1">
      <c r="A12" s="173"/>
      <c r="B12" s="108"/>
      <c r="C12" s="679" t="s">
        <v>100</v>
      </c>
      <c r="D12" s="487"/>
      <c r="E12" s="1312">
        <v>85744.464999999997</v>
      </c>
      <c r="F12" s="1312">
        <v>0.156</v>
      </c>
      <c r="G12" s="589">
        <f>G9+G10</f>
        <v>85744.620999999999</v>
      </c>
      <c r="H12" s="487"/>
      <c r="I12" s="1090">
        <f>I9+I10</f>
        <v>85607.335000000006</v>
      </c>
      <c r="J12" s="1090">
        <f>J9+J10</f>
        <v>0</v>
      </c>
      <c r="K12" s="589">
        <f>K9+K10</f>
        <v>85607.335000000006</v>
      </c>
      <c r="L12" s="487"/>
      <c r="M12" s="1090">
        <f>M9+M10</f>
        <v>84115.566999999995</v>
      </c>
      <c r="N12" s="1090">
        <f>N9+N10</f>
        <v>0.02</v>
      </c>
      <c r="O12" s="589">
        <f>O9+O10</f>
        <v>84115.587</v>
      </c>
      <c r="P12" s="487"/>
      <c r="Q12" s="589">
        <f>Q9+Q10</f>
        <v>87024.949000000008</v>
      </c>
      <c r="R12" s="592">
        <f>R9+R10</f>
        <v>0.02</v>
      </c>
      <c r="S12" s="589">
        <f>S9+S10</f>
        <v>87024.969000000012</v>
      </c>
      <c r="U12" s="181"/>
      <c r="V12" s="181"/>
      <c r="W12" s="181"/>
    </row>
    <row r="13" spans="1:23" ht="32.25" customHeight="1">
      <c r="A13" s="173"/>
      <c r="B13" s="108"/>
      <c r="C13" s="182"/>
      <c r="D13" s="489"/>
      <c r="E13" s="1313"/>
      <c r="F13" s="1314"/>
      <c r="G13" s="926"/>
      <c r="H13" s="489"/>
      <c r="I13" s="1091"/>
      <c r="J13" s="1092"/>
      <c r="K13" s="926"/>
      <c r="L13" s="489"/>
      <c r="M13" s="593"/>
      <c r="N13" s="320"/>
      <c r="O13" s="594"/>
      <c r="P13" s="489"/>
      <c r="Q13" s="593"/>
      <c r="R13" s="320"/>
      <c r="S13" s="594"/>
      <c r="U13" s="179"/>
      <c r="V13" s="179"/>
      <c r="W13" s="181"/>
    </row>
    <row r="14" spans="1:23" ht="18" customHeight="1">
      <c r="A14" s="173"/>
      <c r="B14" s="108"/>
      <c r="C14" s="487" t="s">
        <v>101</v>
      </c>
      <c r="D14" s="487"/>
      <c r="E14" s="1314"/>
      <c r="F14" s="1314"/>
      <c r="G14" s="926"/>
      <c r="H14" s="487"/>
      <c r="I14" s="1092"/>
      <c r="J14" s="1092"/>
      <c r="K14" s="926"/>
      <c r="L14" s="487"/>
      <c r="M14" s="320"/>
      <c r="N14" s="320"/>
      <c r="O14" s="594"/>
      <c r="P14" s="487"/>
      <c r="Q14" s="320"/>
      <c r="R14" s="320"/>
      <c r="S14" s="594"/>
      <c r="U14" s="179"/>
      <c r="V14" s="179"/>
      <c r="W14" s="181"/>
    </row>
    <row r="15" spans="1:23" ht="18" customHeight="1">
      <c r="A15" s="173"/>
      <c r="B15" s="108"/>
      <c r="C15" s="488" t="s">
        <v>102</v>
      </c>
      <c r="D15" s="487"/>
      <c r="E15" s="1315"/>
      <c r="F15" s="1315"/>
      <c r="G15" s="927"/>
      <c r="H15" s="487"/>
      <c r="I15" s="1093"/>
      <c r="J15" s="1093"/>
      <c r="K15" s="927"/>
      <c r="L15" s="487"/>
      <c r="M15" s="321"/>
      <c r="N15" s="321"/>
      <c r="O15" s="595"/>
      <c r="P15" s="487"/>
      <c r="Q15" s="321"/>
      <c r="R15" s="321"/>
      <c r="S15" s="595"/>
      <c r="U15" s="179"/>
      <c r="V15" s="179"/>
      <c r="W15" s="181"/>
    </row>
    <row r="16" spans="1:23" ht="18.75" customHeight="1">
      <c r="A16" s="173"/>
      <c r="B16" s="108"/>
      <c r="C16" s="680" t="s">
        <v>103</v>
      </c>
      <c r="D16" s="489"/>
      <c r="E16" s="1309">
        <v>4398.6440000000002</v>
      </c>
      <c r="F16" s="1310">
        <v>0</v>
      </c>
      <c r="G16" s="586">
        <f>E16+F16</f>
        <v>4398.6440000000002</v>
      </c>
      <c r="H16" s="489"/>
      <c r="I16" s="1087">
        <v>4323.732</v>
      </c>
      <c r="J16" s="1088">
        <v>0</v>
      </c>
      <c r="K16" s="586">
        <f>I16+J16</f>
        <v>4323.732</v>
      </c>
      <c r="L16" s="489"/>
      <c r="M16" s="1087">
        <v>4236.9009999999998</v>
      </c>
      <c r="N16" s="1088">
        <v>0</v>
      </c>
      <c r="O16" s="586">
        <f>M16+N16</f>
        <v>4236.9009999999998</v>
      </c>
      <c r="P16" s="489"/>
      <c r="Q16" s="585">
        <v>4126.43</v>
      </c>
      <c r="R16" s="807">
        <v>0</v>
      </c>
      <c r="S16" s="586">
        <f>Q16+R16</f>
        <v>4126.43</v>
      </c>
      <c r="T16" s="86"/>
      <c r="U16" s="179"/>
      <c r="V16" s="184"/>
      <c r="W16" s="181"/>
    </row>
    <row r="17" spans="1:23" ht="18.75" customHeight="1" thickBot="1">
      <c r="A17" s="173"/>
      <c r="B17" s="108"/>
      <c r="C17" s="678" t="s">
        <v>104</v>
      </c>
      <c r="D17" s="489"/>
      <c r="E17" s="1316">
        <v>99777.04</v>
      </c>
      <c r="F17" s="1316">
        <v>29.454999999999998</v>
      </c>
      <c r="G17" s="589">
        <f>E17+F17</f>
        <v>99806.494999999995</v>
      </c>
      <c r="H17" s="489"/>
      <c r="I17" s="1094">
        <v>99052.679000000004</v>
      </c>
      <c r="J17" s="1094">
        <v>25.646999999999998</v>
      </c>
      <c r="K17" s="589">
        <f>I17+J17</f>
        <v>99078.326000000001</v>
      </c>
      <c r="L17" s="489"/>
      <c r="M17" s="1094">
        <v>98286.463000000003</v>
      </c>
      <c r="N17" s="1094">
        <v>24.196999999999999</v>
      </c>
      <c r="O17" s="589">
        <f>M17+N17</f>
        <v>98310.66</v>
      </c>
      <c r="P17" s="489"/>
      <c r="Q17" s="590">
        <v>95139.967999999993</v>
      </c>
      <c r="R17" s="590">
        <v>22.497</v>
      </c>
      <c r="S17" s="589">
        <f>Q17+R17</f>
        <v>95162.464999999997</v>
      </c>
      <c r="T17" s="86"/>
      <c r="U17" s="179"/>
      <c r="V17" s="179"/>
      <c r="W17" s="181"/>
    </row>
    <row r="18" spans="1:23" ht="18.75" customHeight="1" thickBot="1">
      <c r="A18" s="173"/>
      <c r="B18" s="108"/>
      <c r="C18" s="679" t="s">
        <v>100</v>
      </c>
      <c r="D18" s="487"/>
      <c r="E18" s="1317">
        <v>104175.68399999999</v>
      </c>
      <c r="F18" s="1312">
        <v>29.454999999999998</v>
      </c>
      <c r="G18" s="592">
        <f>G16+G17</f>
        <v>104205.139</v>
      </c>
      <c r="H18" s="487"/>
      <c r="I18" s="1095">
        <f>I16+I17</f>
        <v>103376.41100000001</v>
      </c>
      <c r="J18" s="1090">
        <f>J16+J17</f>
        <v>25.646999999999998</v>
      </c>
      <c r="K18" s="592">
        <f>K16+K17</f>
        <v>103402.058</v>
      </c>
      <c r="L18" s="487"/>
      <c r="M18" s="1095">
        <f>M16+M17</f>
        <v>102523.364</v>
      </c>
      <c r="N18" s="1090">
        <f>N16+N17</f>
        <v>24.196999999999999</v>
      </c>
      <c r="O18" s="592">
        <f>O16+O17</f>
        <v>102547.561</v>
      </c>
      <c r="P18" s="487"/>
      <c r="Q18" s="589">
        <f>Q16+Q17</f>
        <v>99266.397999999986</v>
      </c>
      <c r="R18" s="592">
        <f>R16+R17</f>
        <v>22.497</v>
      </c>
      <c r="S18" s="592">
        <f>S16+S17</f>
        <v>99288.89499999999</v>
      </c>
      <c r="T18" s="86"/>
      <c r="U18" s="181"/>
      <c r="V18" s="181"/>
      <c r="W18" s="181"/>
    </row>
    <row r="19" spans="1:23" ht="32.25" customHeight="1">
      <c r="A19" s="173"/>
      <c r="B19" s="108"/>
      <c r="C19" s="489"/>
      <c r="D19" s="489"/>
      <c r="E19" s="1314"/>
      <c r="F19" s="1314"/>
      <c r="G19" s="955"/>
      <c r="H19" s="489"/>
      <c r="I19" s="1092"/>
      <c r="J19" s="1092"/>
      <c r="K19" s="955"/>
      <c r="L19" s="489"/>
      <c r="M19" s="320"/>
      <c r="N19" s="320"/>
      <c r="O19" s="594"/>
      <c r="P19" s="489"/>
      <c r="Q19" s="320"/>
      <c r="R19" s="320"/>
      <c r="S19" s="594"/>
      <c r="T19" s="86"/>
      <c r="U19" s="179"/>
      <c r="V19" s="179"/>
      <c r="W19" s="181"/>
    </row>
    <row r="20" spans="1:23" ht="18" customHeight="1">
      <c r="A20" s="173"/>
      <c r="B20" s="108"/>
      <c r="C20" s="488" t="s">
        <v>105</v>
      </c>
      <c r="D20" s="487"/>
      <c r="E20" s="1314"/>
      <c r="F20" s="1314"/>
      <c r="G20" s="955"/>
      <c r="H20" s="487"/>
      <c r="I20" s="1092"/>
      <c r="J20" s="1092"/>
      <c r="K20" s="955"/>
      <c r="L20" s="487"/>
      <c r="M20" s="320"/>
      <c r="N20" s="320"/>
      <c r="O20" s="594"/>
      <c r="P20" s="487"/>
      <c r="Q20" s="320"/>
      <c r="R20" s="320"/>
      <c r="S20" s="594"/>
      <c r="T20" s="86"/>
      <c r="U20" s="179"/>
      <c r="V20" s="179"/>
      <c r="W20" s="181"/>
    </row>
    <row r="21" spans="1:23" ht="18.75" customHeight="1">
      <c r="A21" s="173"/>
      <c r="B21" s="108"/>
      <c r="C21" s="680" t="s">
        <v>106</v>
      </c>
      <c r="D21" s="489"/>
      <c r="E21" s="1309">
        <v>33076.375999999997</v>
      </c>
      <c r="F21" s="1309">
        <v>0.48599999999999999</v>
      </c>
      <c r="G21" s="586">
        <f>E21+F21</f>
        <v>33076.861999999994</v>
      </c>
      <c r="H21" s="489"/>
      <c r="I21" s="1087">
        <v>32624.609</v>
      </c>
      <c r="J21" s="1087">
        <v>0.53</v>
      </c>
      <c r="K21" s="586">
        <f>I21+J21</f>
        <v>32625.138999999999</v>
      </c>
      <c r="L21" s="489"/>
      <c r="M21" s="1087">
        <v>32178.312999999998</v>
      </c>
      <c r="N21" s="1087">
        <v>0.53200000000000003</v>
      </c>
      <c r="O21" s="586">
        <f>M21+N21</f>
        <v>32178.844999999998</v>
      </c>
      <c r="P21" s="489"/>
      <c r="Q21" s="585">
        <v>31868.67</v>
      </c>
      <c r="R21" s="585">
        <v>0.54</v>
      </c>
      <c r="S21" s="586">
        <f>Q21+R21</f>
        <v>31869.21</v>
      </c>
      <c r="T21" s="86"/>
      <c r="U21" s="179"/>
      <c r="V21" s="179"/>
      <c r="W21" s="181"/>
    </row>
    <row r="22" spans="1:23" ht="18.75" customHeight="1">
      <c r="A22" s="173"/>
      <c r="B22" s="108"/>
      <c r="C22" s="680" t="s">
        <v>107</v>
      </c>
      <c r="D22" s="489"/>
      <c r="E22" s="1309">
        <v>48922.961000000003</v>
      </c>
      <c r="F22" s="1310">
        <v>0</v>
      </c>
      <c r="G22" s="586">
        <f>E22+F22</f>
        <v>48922.961000000003</v>
      </c>
      <c r="H22" s="489"/>
      <c r="I22" s="1087">
        <v>49066.96</v>
      </c>
      <c r="J22" s="1088">
        <v>0</v>
      </c>
      <c r="K22" s="586">
        <f>I22+J22</f>
        <v>49066.96</v>
      </c>
      <c r="L22" s="489"/>
      <c r="M22" s="1087">
        <v>48780.402000000002</v>
      </c>
      <c r="N22" s="1088">
        <v>0</v>
      </c>
      <c r="O22" s="586">
        <f>M22+N22</f>
        <v>48780.402000000002</v>
      </c>
      <c r="P22" s="489"/>
      <c r="Q22" s="585">
        <v>46655.453000000001</v>
      </c>
      <c r="R22" s="807">
        <v>0</v>
      </c>
      <c r="S22" s="586">
        <f>Q22+R22</f>
        <v>46655.453000000001</v>
      </c>
      <c r="T22" s="86"/>
      <c r="U22" s="179"/>
      <c r="V22" s="180"/>
      <c r="W22" s="181"/>
    </row>
    <row r="23" spans="1:23" ht="18.75" customHeight="1">
      <c r="A23" s="173"/>
      <c r="B23" s="108"/>
      <c r="C23" s="681" t="s">
        <v>108</v>
      </c>
      <c r="D23" s="489"/>
      <c r="E23" s="1310">
        <v>0</v>
      </c>
      <c r="F23" s="1310">
        <v>0</v>
      </c>
      <c r="G23" s="587">
        <f>E23+F23</f>
        <v>0</v>
      </c>
      <c r="H23" s="489"/>
      <c r="I23" s="1088">
        <v>0</v>
      </c>
      <c r="J23" s="1088">
        <v>0</v>
      </c>
      <c r="K23" s="587">
        <f>I23+J23</f>
        <v>0</v>
      </c>
      <c r="L23" s="489"/>
      <c r="M23" s="1088">
        <v>0</v>
      </c>
      <c r="N23" s="1088">
        <v>0</v>
      </c>
      <c r="O23" s="587">
        <f>M23+N23</f>
        <v>0</v>
      </c>
      <c r="P23" s="489"/>
      <c r="Q23" s="807">
        <v>0</v>
      </c>
      <c r="R23" s="807">
        <v>0</v>
      </c>
      <c r="S23" s="587">
        <f>Q23+R23</f>
        <v>0</v>
      </c>
      <c r="T23" s="86"/>
      <c r="U23" s="180"/>
      <c r="V23" s="180"/>
      <c r="W23" s="185"/>
    </row>
    <row r="24" spans="1:23" ht="18.75" customHeight="1" thickBot="1">
      <c r="A24" s="173"/>
      <c r="B24" s="108"/>
      <c r="C24" s="678" t="s">
        <v>109</v>
      </c>
      <c r="D24" s="489"/>
      <c r="E24" s="1316">
        <v>22176.347000000002</v>
      </c>
      <c r="F24" s="1318">
        <v>28.969000000000001</v>
      </c>
      <c r="G24" s="589">
        <f>E24+F24</f>
        <v>22205.316000000003</v>
      </c>
      <c r="H24" s="489"/>
      <c r="I24" s="1094">
        <v>21684.842000000001</v>
      </c>
      <c r="J24" s="1096">
        <v>25.116</v>
      </c>
      <c r="K24" s="589">
        <f>I24+J24</f>
        <v>21709.958000000002</v>
      </c>
      <c r="L24" s="489"/>
      <c r="M24" s="1094">
        <v>21564.649000000001</v>
      </c>
      <c r="N24" s="1096">
        <v>23.664999999999999</v>
      </c>
      <c r="O24" s="589">
        <f>M24+N24</f>
        <v>21588.314000000002</v>
      </c>
      <c r="P24" s="489"/>
      <c r="Q24" s="590">
        <v>20742.276000000002</v>
      </c>
      <c r="R24" s="591">
        <v>21.957000000000001</v>
      </c>
      <c r="S24" s="589">
        <f>Q24+R24</f>
        <v>20764.233</v>
      </c>
      <c r="T24" s="86"/>
      <c r="U24" s="179"/>
      <c r="V24" s="179"/>
      <c r="W24" s="181"/>
    </row>
    <row r="25" spans="1:23" ht="18.75" customHeight="1" thickBot="1">
      <c r="A25" s="173"/>
      <c r="B25" s="108"/>
      <c r="C25" s="679" t="s">
        <v>100</v>
      </c>
      <c r="D25" s="487"/>
      <c r="E25" s="1312">
        <v>104175.68400000001</v>
      </c>
      <c r="F25" s="1312">
        <v>29.455000000000002</v>
      </c>
      <c r="G25" s="589">
        <f>SUM(G21:G24)</f>
        <v>104205.13900000001</v>
      </c>
      <c r="H25" s="487"/>
      <c r="I25" s="1090">
        <f>SUM(I21:I24)</f>
        <v>103376.41100000001</v>
      </c>
      <c r="J25" s="1090">
        <f>SUM(J21:J24)</f>
        <v>25.646000000000001</v>
      </c>
      <c r="K25" s="589">
        <f>SUM(K21:K24)</f>
        <v>103402.057</v>
      </c>
      <c r="L25" s="487"/>
      <c r="M25" s="1090">
        <f>SUM(M21:M24)</f>
        <v>102523.364</v>
      </c>
      <c r="N25" s="1090">
        <f>SUM(N21:N24)</f>
        <v>24.196999999999999</v>
      </c>
      <c r="O25" s="589">
        <f>SUM(O21:O24)</f>
        <v>102547.561</v>
      </c>
      <c r="P25" s="487"/>
      <c r="Q25" s="592">
        <f>SUM(Q21:Q24)</f>
        <v>99266.39899999999</v>
      </c>
      <c r="R25" s="592">
        <f>SUM(R21:R24)</f>
        <v>22.497</v>
      </c>
      <c r="S25" s="589">
        <f>SUM(S21:S24)</f>
        <v>99288.896000000008</v>
      </c>
      <c r="T25" s="86"/>
      <c r="U25" s="181"/>
      <c r="V25" s="181"/>
      <c r="W25" s="181"/>
    </row>
    <row r="26" spans="1:23" ht="32.25" customHeight="1">
      <c r="A26" s="173"/>
      <c r="B26" s="108"/>
      <c r="C26" s="182"/>
      <c r="D26" s="489"/>
      <c r="E26" s="1314"/>
      <c r="F26" s="1314"/>
      <c r="G26" s="928"/>
      <c r="H26" s="489"/>
      <c r="I26" s="1092"/>
      <c r="J26" s="1092"/>
      <c r="K26" s="928"/>
      <c r="L26" s="489"/>
      <c r="M26" s="320"/>
      <c r="N26" s="320"/>
      <c r="O26" s="596"/>
      <c r="P26" s="489"/>
      <c r="Q26" s="320"/>
      <c r="R26" s="320"/>
      <c r="S26" s="596"/>
      <c r="T26" s="86"/>
      <c r="U26" s="179"/>
      <c r="V26" s="179"/>
      <c r="W26" s="181"/>
    </row>
    <row r="27" spans="1:23" ht="18" customHeight="1">
      <c r="A27" s="173"/>
      <c r="B27" s="108"/>
      <c r="C27" s="488" t="s">
        <v>110</v>
      </c>
      <c r="D27" s="487"/>
      <c r="E27" s="1315"/>
      <c r="F27" s="1315"/>
      <c r="G27" s="927"/>
      <c r="H27" s="487"/>
      <c r="I27" s="1093"/>
      <c r="J27" s="1093"/>
      <c r="K27" s="927"/>
      <c r="L27" s="487"/>
      <c r="M27" s="321"/>
      <c r="N27" s="321"/>
      <c r="O27" s="595"/>
      <c r="P27" s="487"/>
      <c r="Q27" s="321"/>
      <c r="R27" s="321"/>
      <c r="S27" s="595"/>
      <c r="T27" s="86"/>
      <c r="U27" s="179"/>
      <c r="V27" s="179"/>
      <c r="W27" s="181"/>
    </row>
    <row r="28" spans="1:23" ht="27.75" customHeight="1" thickBot="1">
      <c r="A28" s="173"/>
      <c r="B28" s="108"/>
      <c r="C28" s="678" t="s">
        <v>111</v>
      </c>
      <c r="D28" s="489"/>
      <c r="E28" s="1317">
        <v>2779.3980000000001</v>
      </c>
      <c r="F28" s="1311">
        <v>0.1</v>
      </c>
      <c r="G28" s="592">
        <f>E28+F28</f>
        <v>2779.498</v>
      </c>
      <c r="H28" s="489"/>
      <c r="I28" s="1095">
        <v>2925.5259999999998</v>
      </c>
      <c r="J28" s="1089">
        <v>1E-3</v>
      </c>
      <c r="K28" s="592">
        <f>I28+J28</f>
        <v>2925.527</v>
      </c>
      <c r="L28" s="489"/>
      <c r="M28" s="1095">
        <v>3318.5810000000001</v>
      </c>
      <c r="N28" s="1089">
        <v>1E-3</v>
      </c>
      <c r="O28" s="592">
        <f>M28+N28</f>
        <v>3318.5820000000003</v>
      </c>
      <c r="P28" s="489"/>
      <c r="Q28" s="589">
        <v>3347.24</v>
      </c>
      <c r="R28" s="588">
        <v>1E-3</v>
      </c>
      <c r="S28" s="592">
        <f>Q28+R28</f>
        <v>3347.241</v>
      </c>
      <c r="T28" s="86"/>
      <c r="U28" s="179"/>
      <c r="V28" s="180"/>
      <c r="W28" s="181"/>
    </row>
    <row r="29" spans="1:23" ht="18" customHeight="1">
      <c r="A29" s="173"/>
      <c r="B29" s="108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</row>
    <row r="30" spans="1:23">
      <c r="A30" s="173"/>
      <c r="B30" s="108"/>
      <c r="C30" s="187" t="s">
        <v>386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</row>
    <row r="31" spans="1:23">
      <c r="A31" s="173"/>
      <c r="B31" s="108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</row>
    <row r="32" spans="1:23">
      <c r="A32" s="173"/>
      <c r="B32" s="108"/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ht="6" customHeight="1">
      <c r="A33" s="188"/>
      <c r="B33" s="18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</row>
    <row r="34" spans="1:19">
      <c r="A34" s="188"/>
      <c r="B34" s="189"/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</row>
    <row r="35" spans="1:19">
      <c r="A35" s="188"/>
      <c r="B35" s="18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>
      <c r="A36" s="189"/>
      <c r="B36" s="18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>
      <c r="A37" s="189"/>
      <c r="B37" s="18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>
      <c r="A38" s="189"/>
      <c r="B38" s="18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>
      <c r="A39" s="189"/>
      <c r="B39" s="18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>
      <c r="A40" s="189"/>
      <c r="B40" s="189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</row>
    <row r="41" spans="1:19">
      <c r="A41" s="189"/>
      <c r="B41" s="18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>
      <c r="A42" s="189"/>
      <c r="B42" s="18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>
      <c r="A43" s="189"/>
      <c r="B43" s="18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>
      <c r="A44" s="189"/>
      <c r="B44" s="189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</row>
    <row r="45" spans="1:19">
      <c r="A45" s="189"/>
      <c r="B45" s="18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>
      <c r="A46" s="189"/>
      <c r="B46" s="18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>
      <c r="A47" s="189"/>
      <c r="B47" s="18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>
      <c r="A48" s="189"/>
      <c r="B48" s="189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</row>
    <row r="49" spans="1:19">
      <c r="A49" s="189"/>
      <c r="B49" s="189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</row>
    <row r="50" spans="1:19">
      <c r="A50" s="189"/>
      <c r="B50" s="189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</row>
    <row r="51" spans="1:19">
      <c r="A51" s="27"/>
      <c r="B51" s="27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</row>
    <row r="52" spans="1:19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t="19.5">
      <c r="A53" s="27"/>
      <c r="B53" s="27"/>
      <c r="C53" s="1418"/>
      <c r="D53" s="1418"/>
      <c r="E53" s="1418"/>
      <c r="F53" s="1418"/>
      <c r="G53" s="1418"/>
      <c r="H53" s="1418"/>
      <c r="I53" s="1418"/>
      <c r="J53" s="1418"/>
      <c r="K53" s="1418"/>
      <c r="L53" s="1418"/>
      <c r="M53" s="1418"/>
      <c r="N53" s="1418"/>
      <c r="O53" s="1418"/>
      <c r="P53" s="1418"/>
      <c r="Q53" s="1418"/>
      <c r="R53" s="1418"/>
      <c r="S53" s="1418"/>
    </row>
    <row r="54" spans="1:19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ht="18">
      <c r="A56" s="27"/>
      <c r="B56" s="27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</row>
    <row r="57" spans="1:19" ht="15.75">
      <c r="A57" s="27"/>
      <c r="B57" s="27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4"/>
      <c r="S57" s="444"/>
    </row>
    <row r="58" spans="1:19">
      <c r="A58" s="189"/>
      <c r="B58" s="18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</row>
    <row r="59" spans="1:19">
      <c r="A59" s="189"/>
      <c r="B59" s="189"/>
      <c r="C59" s="441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</row>
    <row r="60" spans="1:19">
      <c r="A60" s="189"/>
      <c r="B60" s="18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>
      <c r="A61" s="189"/>
      <c r="B61" s="18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>
      <c r="A62" s="189"/>
      <c r="B62" s="18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>
      <c r="A63" s="189"/>
      <c r="B63" s="18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>
      <c r="A64" s="189"/>
      <c r="B64" s="18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>
      <c r="A65" s="189"/>
      <c r="B65" s="189"/>
      <c r="C65" s="442"/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</row>
    <row r="66" spans="1:19">
      <c r="A66" s="189"/>
      <c r="B66" s="18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>
      <c r="A67" s="189"/>
      <c r="B67" s="18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>
      <c r="A68" s="189"/>
      <c r="B68" s="18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>
      <c r="A69" s="189"/>
      <c r="B69" s="189"/>
      <c r="C69" s="442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2"/>
      <c r="O69" s="442"/>
      <c r="P69" s="442"/>
      <c r="Q69" s="442"/>
      <c r="R69" s="442"/>
      <c r="S69" s="442"/>
    </row>
    <row r="70" spans="1:19">
      <c r="A70" s="189"/>
      <c r="B70" s="18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>
      <c r="A71" s="189"/>
      <c r="B71" s="18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>
      <c r="A72" s="189"/>
      <c r="B72" s="18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>
      <c r="A73" s="189"/>
      <c r="B73" s="18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>
      <c r="A74" s="189"/>
      <c r="B74" s="18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>
      <c r="A75" s="189"/>
      <c r="B75" s="189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</row>
    <row r="76" spans="1:19" ht="15.75">
      <c r="A76" s="27"/>
      <c r="B76" s="27"/>
      <c r="C76" s="444"/>
      <c r="D76" s="444"/>
      <c r="E76" s="444"/>
      <c r="F76" s="444"/>
      <c r="G76" s="444"/>
      <c r="H76" s="444"/>
      <c r="I76" s="444"/>
      <c r="J76" s="444"/>
      <c r="K76" s="444"/>
      <c r="L76" s="444"/>
      <c r="M76" s="444"/>
      <c r="N76" s="444"/>
      <c r="O76" s="444"/>
      <c r="P76" s="444"/>
      <c r="Q76" s="444"/>
      <c r="R76" s="444"/>
      <c r="S76" s="444"/>
    </row>
    <row r="77" spans="1:19">
      <c r="A77" s="189"/>
      <c r="B77" s="189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</row>
    <row r="78" spans="1:19">
      <c r="A78" s="189"/>
      <c r="B78" s="189"/>
      <c r="C78" s="441"/>
      <c r="D78" s="441"/>
      <c r="E78" s="441"/>
      <c r="F78" s="441"/>
      <c r="G78" s="441"/>
      <c r="H78" s="441"/>
      <c r="I78" s="441"/>
      <c r="J78" s="441"/>
      <c r="K78" s="441"/>
      <c r="L78" s="441"/>
      <c r="M78" s="441"/>
      <c r="N78" s="441"/>
      <c r="O78" s="441"/>
      <c r="P78" s="441"/>
      <c r="Q78" s="441"/>
      <c r="R78" s="441"/>
      <c r="S78" s="441"/>
    </row>
    <row r="79" spans="1:19">
      <c r="A79" s="189"/>
      <c r="B79" s="18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>
      <c r="A80" s="189"/>
      <c r="B80" s="18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>
      <c r="A81" s="189"/>
      <c r="B81" s="18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>
      <c r="A82" s="189"/>
      <c r="B82" s="18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>
      <c r="A83" s="189"/>
      <c r="B83" s="18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>
      <c r="A84" s="189"/>
      <c r="B84" s="189"/>
      <c r="C84" s="442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</row>
    <row r="85" spans="1:19">
      <c r="A85" s="189"/>
      <c r="B85" s="18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>
      <c r="A86" s="189"/>
      <c r="B86" s="18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>
      <c r="A87" s="189"/>
      <c r="B87" s="18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>
      <c r="A88" s="189"/>
      <c r="B88" s="189"/>
      <c r="C88" s="442"/>
      <c r="D88" s="442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</row>
    <row r="89" spans="1:19">
      <c r="A89" s="189"/>
      <c r="B89" s="18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>
      <c r="A90" s="189"/>
      <c r="B90" s="18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>
      <c r="A91" s="189"/>
      <c r="B91" s="18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>
      <c r="A92" s="189"/>
      <c r="B92" s="189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</row>
    <row r="93" spans="1:19">
      <c r="A93" s="189"/>
      <c r="B93" s="189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</row>
    <row r="94" spans="1:19">
      <c r="A94" s="189"/>
      <c r="B94" s="189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</row>
    <row r="95" spans="1:19">
      <c r="A95" s="27"/>
      <c r="B95" s="27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</row>
    <row r="96" spans="1:19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</sheetData>
  <mergeCells count="17">
    <mergeCell ref="R7:R8"/>
    <mergeCell ref="Q6:S6"/>
    <mergeCell ref="S7:S8"/>
    <mergeCell ref="C53:S53"/>
    <mergeCell ref="I6:K6"/>
    <mergeCell ref="I7:I8"/>
    <mergeCell ref="J7:J8"/>
    <mergeCell ref="K7:K8"/>
    <mergeCell ref="M7:M8"/>
    <mergeCell ref="N7:N8"/>
    <mergeCell ref="M6:O6"/>
    <mergeCell ref="O7:O8"/>
    <mergeCell ref="E6:G6"/>
    <mergeCell ref="E7:E8"/>
    <mergeCell ref="F7:F8"/>
    <mergeCell ref="G7:G8"/>
    <mergeCell ref="Q7:Q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zoomScale="91" zoomScaleNormal="100" zoomScaleSheetLayoutView="91" workbookViewId="0">
      <selection activeCell="C32" sqref="C32:C33"/>
    </sheetView>
  </sheetViews>
  <sheetFormatPr defaultRowHeight="11.25"/>
  <cols>
    <col min="1" max="1" width="19.140625" style="142" customWidth="1"/>
    <col min="2" max="2" width="4.28515625" style="142" customWidth="1"/>
    <col min="3" max="3" width="18.7109375" style="142" customWidth="1"/>
    <col min="4" max="4" width="8.28515625" style="142" customWidth="1"/>
    <col min="5" max="5" width="2.7109375" style="142" customWidth="1"/>
    <col min="6" max="6" width="8.28515625" style="142" customWidth="1"/>
    <col min="7" max="7" width="8" style="142" customWidth="1"/>
    <col min="8" max="8" width="16.28515625" style="142" customWidth="1"/>
    <col min="9" max="9" width="8.28515625" style="216" customWidth="1"/>
    <col min="10" max="10" width="2.7109375" style="216" customWidth="1"/>
    <col min="11" max="11" width="8.28515625" style="216" customWidth="1"/>
    <col min="12" max="12" width="8" style="216" customWidth="1"/>
    <col min="13" max="13" width="17.85546875" style="216" customWidth="1"/>
    <col min="14" max="14" width="8.28515625" style="216" customWidth="1"/>
    <col min="15" max="15" width="2.7109375" style="216" customWidth="1"/>
    <col min="16" max="16" width="8.28515625" style="216" customWidth="1"/>
    <col min="17" max="17" width="1.85546875" style="142" customWidth="1"/>
    <col min="18" max="16384" width="9.140625" style="142"/>
  </cols>
  <sheetData>
    <row r="1" spans="1:17" s="118" customFormat="1" ht="30" customHeight="1">
      <c r="A1" s="812"/>
      <c r="B1" s="137"/>
      <c r="C1" s="626" t="s">
        <v>112</v>
      </c>
      <c r="D1" s="97"/>
      <c r="E1" s="97"/>
      <c r="F1" s="97"/>
      <c r="G1" s="97"/>
      <c r="H1" s="97"/>
      <c r="I1" s="213"/>
      <c r="J1" s="213"/>
      <c r="K1" s="213"/>
      <c r="L1" s="213"/>
      <c r="M1" s="213"/>
      <c r="N1" s="213"/>
      <c r="O1" s="213"/>
      <c r="P1" s="213"/>
      <c r="Q1" s="137"/>
    </row>
    <row r="2" spans="1:17" s="118" customFormat="1" ht="15.75" customHeight="1">
      <c r="A2" s="138"/>
      <c r="I2" s="214"/>
      <c r="J2" s="214"/>
      <c r="K2" s="214"/>
      <c r="L2" s="214"/>
      <c r="M2" s="214"/>
      <c r="N2" s="214"/>
      <c r="O2" s="214"/>
      <c r="P2" s="214"/>
    </row>
    <row r="3" spans="1:17" ht="17.25">
      <c r="A3" s="215"/>
      <c r="B3" s="136"/>
      <c r="C3" s="22" t="s">
        <v>400</v>
      </c>
    </row>
    <row r="4" spans="1:17">
      <c r="A4" s="215"/>
      <c r="B4" s="136"/>
    </row>
    <row r="5" spans="1:17" ht="16.5" customHeight="1">
      <c r="A5" s="215"/>
      <c r="B5" s="136"/>
      <c r="C5" s="492" t="s">
        <v>113</v>
      </c>
      <c r="D5" s="43"/>
      <c r="E5" s="43"/>
      <c r="F5" s="43"/>
      <c r="G5" s="217"/>
      <c r="H5" s="493" t="s">
        <v>114</v>
      </c>
      <c r="I5" s="218"/>
      <c r="J5" s="218"/>
      <c r="K5" s="218"/>
      <c r="L5" s="218"/>
      <c r="M5" s="493" t="s">
        <v>115</v>
      </c>
      <c r="N5" s="219"/>
    </row>
    <row r="6" spans="1:17" ht="16.5" customHeight="1">
      <c r="A6" s="215"/>
      <c r="B6" s="136"/>
      <c r="C6" s="445"/>
      <c r="D6" s="43"/>
      <c r="E6" s="43"/>
      <c r="F6" s="43"/>
      <c r="G6" s="217"/>
      <c r="H6" s="238"/>
      <c r="I6" s="218"/>
      <c r="J6" s="218"/>
      <c r="K6" s="218"/>
      <c r="L6" s="218"/>
      <c r="M6" s="238"/>
      <c r="N6" s="219"/>
    </row>
    <row r="7" spans="1:17" ht="16.5" customHeight="1">
      <c r="A7" s="215"/>
      <c r="B7" s="136"/>
      <c r="C7" s="143" t="s">
        <v>116</v>
      </c>
      <c r="D7" s="1421" t="s">
        <v>538</v>
      </c>
      <c r="E7" s="1421"/>
      <c r="F7" s="1421"/>
      <c r="G7" s="136"/>
      <c r="H7" s="143" t="s">
        <v>123</v>
      </c>
      <c r="I7" s="1421" t="s">
        <v>539</v>
      </c>
      <c r="J7" s="1421"/>
      <c r="K7" s="1421"/>
      <c r="L7" s="220"/>
      <c r="M7" s="143" t="s">
        <v>123</v>
      </c>
      <c r="N7" s="1421" t="str">
        <f>D7</f>
        <v>2Q17</v>
      </c>
      <c r="O7" s="1421"/>
      <c r="P7" s="1421"/>
    </row>
    <row r="8" spans="1:17" ht="16.5" customHeight="1">
      <c r="A8" s="215"/>
      <c r="B8" s="136"/>
      <c r="C8" s="682" t="s">
        <v>117</v>
      </c>
      <c r="D8" s="601">
        <f>SUM(D9:D15)-D11</f>
        <v>16623</v>
      </c>
      <c r="E8" s="929"/>
      <c r="F8" s="1015">
        <f>D8/$D$8</f>
        <v>1</v>
      </c>
      <c r="G8" s="136"/>
      <c r="H8" s="682" t="s">
        <v>124</v>
      </c>
      <c r="I8" s="1338">
        <f>SUM(I9:I11)</f>
        <v>16622.900000000001</v>
      </c>
      <c r="J8" s="386"/>
      <c r="K8" s="1015">
        <f>I8/$I$8</f>
        <v>1</v>
      </c>
      <c r="L8" s="602"/>
      <c r="M8" s="682" t="s">
        <v>124</v>
      </c>
      <c r="N8" s="1021">
        <f>SUM(N9:N12)</f>
        <v>5157.3999999999996</v>
      </c>
      <c r="O8" s="597"/>
      <c r="P8" s="1015">
        <f>N8/$N$8</f>
        <v>1</v>
      </c>
      <c r="Q8" s="216"/>
    </row>
    <row r="9" spans="1:17" ht="16.5" customHeight="1">
      <c r="A9" s="215"/>
      <c r="B9" s="136"/>
      <c r="C9" s="675" t="s">
        <v>118</v>
      </c>
      <c r="D9" s="1145">
        <v>0</v>
      </c>
      <c r="E9" s="925"/>
      <c r="F9" s="598">
        <f t="shared" ref="F9:F14" si="0">ROUND(D9,0)/ROUND($D$8,0)</f>
        <v>0</v>
      </c>
      <c r="G9" s="136"/>
      <c r="H9" s="675" t="s">
        <v>125</v>
      </c>
      <c r="I9" s="783">
        <v>5157.3</v>
      </c>
      <c r="J9" s="388"/>
      <c r="K9" s="598">
        <f>ROUND(I9,0)/ROUND($I$8,0)</f>
        <v>0.31023280996210073</v>
      </c>
      <c r="L9" s="602"/>
      <c r="M9" s="675" t="s">
        <v>128</v>
      </c>
      <c r="N9" s="1097">
        <v>3054.3</v>
      </c>
      <c r="O9" s="597"/>
      <c r="P9" s="598">
        <f>ROUND(N9,0)/ROUND($N$8,0)</f>
        <v>0.59220477021524143</v>
      </c>
      <c r="Q9" s="216"/>
    </row>
    <row r="10" spans="1:17" ht="16.5" customHeight="1">
      <c r="A10" s="215"/>
      <c r="B10" s="136"/>
      <c r="C10" s="675" t="s">
        <v>119</v>
      </c>
      <c r="D10" s="783">
        <v>9993.2999999999993</v>
      </c>
      <c r="E10" s="925"/>
      <c r="F10" s="598">
        <f t="shared" si="0"/>
        <v>0.60115502616856165</v>
      </c>
      <c r="G10" s="136"/>
      <c r="H10" s="675" t="s">
        <v>126</v>
      </c>
      <c r="I10" s="783">
        <v>10758.4</v>
      </c>
      <c r="J10" s="388"/>
      <c r="K10" s="598">
        <f>ROUND(I10,0)/ROUND($I$8,0)</f>
        <v>0.64717560007218911</v>
      </c>
      <c r="L10" s="602"/>
      <c r="M10" s="675" t="s">
        <v>129</v>
      </c>
      <c r="N10" s="1097">
        <v>145.1</v>
      </c>
      <c r="O10" s="388"/>
      <c r="P10" s="598">
        <f>ROUND(N10,0)/ROUND($N$8,0)</f>
        <v>2.8117122357960055E-2</v>
      </c>
      <c r="Q10" s="216"/>
    </row>
    <row r="11" spans="1:17" ht="16.5" customHeight="1">
      <c r="A11" s="215"/>
      <c r="B11" s="136"/>
      <c r="C11" s="683" t="s">
        <v>355</v>
      </c>
      <c r="D11" s="783">
        <v>6404.7</v>
      </c>
      <c r="E11" s="925"/>
      <c r="F11" s="598">
        <f>ROUND(D11,0)/ROUND($D$8,0)</f>
        <v>0.38530951091860677</v>
      </c>
      <c r="G11" s="136"/>
      <c r="H11" s="675" t="s">
        <v>127</v>
      </c>
      <c r="I11" s="783">
        <v>707.2</v>
      </c>
      <c r="J11" s="388"/>
      <c r="K11" s="598">
        <f>ROUND(I11,0)/ROUND($I$8,0)</f>
        <v>4.2531432352764242E-2</v>
      </c>
      <c r="L11" s="602"/>
      <c r="M11" s="675" t="s">
        <v>130</v>
      </c>
      <c r="N11" s="1097">
        <v>31.6</v>
      </c>
      <c r="O11" s="1017"/>
      <c r="P11" s="598">
        <f>ROUND(N11,0)/ROUND($N$8,0)</f>
        <v>6.2051580376187706E-3</v>
      </c>
      <c r="Q11" s="216"/>
    </row>
    <row r="12" spans="1:17" ht="16.5" customHeight="1">
      <c r="A12" s="215"/>
      <c r="B12" s="136"/>
      <c r="C12" s="675" t="s">
        <v>120</v>
      </c>
      <c r="D12" s="783">
        <v>26.7</v>
      </c>
      <c r="E12" s="925"/>
      <c r="F12" s="598">
        <f t="shared" si="0"/>
        <v>1.6242555495397943E-3</v>
      </c>
      <c r="G12" s="136"/>
      <c r="H12" s="683"/>
      <c r="I12" s="603"/>
      <c r="J12" s="603"/>
      <c r="K12" s="604"/>
      <c r="L12" s="605"/>
      <c r="M12" s="675" t="s">
        <v>131</v>
      </c>
      <c r="N12" s="1097">
        <v>1926.4</v>
      </c>
      <c r="O12" s="597"/>
      <c r="P12" s="598">
        <f>ROUND(N12,0)/ROUND($N$8,0)</f>
        <v>0.37347294938917974</v>
      </c>
      <c r="Q12" s="216"/>
    </row>
    <row r="13" spans="1:17" ht="16.5" customHeight="1">
      <c r="A13" s="215"/>
      <c r="B13" s="136"/>
      <c r="C13" s="675" t="s">
        <v>121</v>
      </c>
      <c r="D13" s="783">
        <v>3070.4</v>
      </c>
      <c r="E13" s="925"/>
      <c r="F13" s="598">
        <f t="shared" si="0"/>
        <v>0.18468387174396919</v>
      </c>
      <c r="G13" s="136"/>
      <c r="H13" s="683"/>
      <c r="I13" s="603"/>
      <c r="J13" s="603"/>
      <c r="K13" s="604"/>
      <c r="L13" s="602"/>
      <c r="M13" s="685"/>
      <c r="N13" s="604"/>
      <c r="O13" s="604"/>
      <c r="P13" s="606"/>
      <c r="Q13" s="216"/>
    </row>
    <row r="14" spans="1:17" ht="16.5" customHeight="1">
      <c r="A14" s="215"/>
      <c r="B14" s="136"/>
      <c r="C14" s="675" t="s">
        <v>122</v>
      </c>
      <c r="D14" s="783">
        <v>3532.6</v>
      </c>
      <c r="E14" s="929"/>
      <c r="F14" s="598">
        <f t="shared" si="0"/>
        <v>0.21253684653792937</v>
      </c>
      <c r="G14" s="136"/>
      <c r="H14" s="683"/>
      <c r="I14" s="604"/>
      <c r="J14" s="604"/>
      <c r="K14" s="604"/>
      <c r="L14" s="602"/>
      <c r="M14" s="686"/>
      <c r="N14" s="607"/>
      <c r="O14" s="607"/>
      <c r="P14" s="607"/>
    </row>
    <row r="15" spans="1:17" ht="16.5" customHeight="1" thickBot="1">
      <c r="A15" s="215"/>
      <c r="B15" s="136"/>
      <c r="C15" s="684"/>
      <c r="D15" s="599"/>
      <c r="E15" s="599"/>
      <c r="F15" s="600"/>
      <c r="G15" s="136"/>
      <c r="H15" s="684"/>
      <c r="I15" s="608"/>
      <c r="J15" s="608"/>
      <c r="K15" s="608"/>
      <c r="L15" s="602"/>
      <c r="M15" s="687"/>
      <c r="N15" s="608"/>
      <c r="O15" s="608"/>
      <c r="P15" s="608"/>
    </row>
    <row r="16" spans="1:17" ht="16.5" customHeight="1">
      <c r="A16" s="215"/>
      <c r="B16" s="136"/>
      <c r="F16" s="153"/>
      <c r="K16" s="153"/>
      <c r="P16" s="153"/>
    </row>
    <row r="17" spans="1:18" ht="16.5" customHeight="1">
      <c r="A17" s="215"/>
      <c r="B17" s="136"/>
    </row>
    <row r="18" spans="1:18" ht="16.5" customHeight="1">
      <c r="A18" s="215"/>
      <c r="B18" s="136"/>
      <c r="C18" s="22" t="s">
        <v>401</v>
      </c>
      <c r="D18" s="136"/>
      <c r="E18" s="136"/>
      <c r="F18" s="136"/>
      <c r="G18" s="136"/>
      <c r="H18" s="136"/>
      <c r="I18" s="220"/>
      <c r="J18" s="220"/>
      <c r="K18" s="220"/>
      <c r="L18" s="220"/>
      <c r="M18" s="220"/>
      <c r="N18" s="220"/>
      <c r="O18" s="220"/>
      <c r="P18" s="220"/>
    </row>
    <row r="19" spans="1:18" ht="16.5" customHeight="1">
      <c r="A19" s="215"/>
      <c r="B19" s="136"/>
      <c r="H19" s="136"/>
      <c r="I19" s="221"/>
      <c r="J19" s="221"/>
      <c r="K19" s="220"/>
      <c r="L19" s="220"/>
      <c r="M19" s="222"/>
      <c r="N19" s="223"/>
      <c r="O19" s="223"/>
      <c r="P19" s="224"/>
    </row>
    <row r="20" spans="1:18" ht="16.5" customHeight="1">
      <c r="A20" s="215"/>
      <c r="B20" s="136"/>
      <c r="C20" s="492" t="s">
        <v>113</v>
      </c>
      <c r="D20" s="43"/>
      <c r="E20" s="43"/>
      <c r="F20" s="43"/>
      <c r="G20" s="217"/>
      <c r="H20" s="493" t="s">
        <v>114</v>
      </c>
      <c r="I20" s="218"/>
      <c r="J20" s="218"/>
      <c r="K20" s="218"/>
      <c r="L20" s="218"/>
      <c r="M20" s="493" t="s">
        <v>115</v>
      </c>
      <c r="N20" s="219"/>
    </row>
    <row r="21" spans="1:18" ht="16.5" customHeight="1">
      <c r="A21" s="215"/>
      <c r="B21" s="136"/>
      <c r="C21" s="445"/>
      <c r="D21" s="43"/>
      <c r="E21" s="43"/>
      <c r="F21" s="43"/>
      <c r="G21" s="217"/>
      <c r="H21" s="238"/>
      <c r="I21" s="218"/>
      <c r="J21" s="218"/>
      <c r="K21" s="218"/>
      <c r="L21" s="218"/>
      <c r="M21" s="238"/>
      <c r="N21" s="219"/>
    </row>
    <row r="22" spans="1:18" ht="16.5" customHeight="1">
      <c r="A22" s="215"/>
      <c r="B22" s="136"/>
      <c r="C22" s="143" t="s">
        <v>116</v>
      </c>
      <c r="D22" s="1421" t="str">
        <f>D7</f>
        <v>2Q17</v>
      </c>
      <c r="E22" s="1421"/>
      <c r="F22" s="1421"/>
      <c r="G22" s="136"/>
      <c r="H22" s="143" t="s">
        <v>123</v>
      </c>
      <c r="I22" s="1421" t="str">
        <f>D7</f>
        <v>2Q17</v>
      </c>
      <c r="J22" s="1421"/>
      <c r="K22" s="1421"/>
      <c r="L22" s="220"/>
      <c r="M22" s="143" t="s">
        <v>123</v>
      </c>
      <c r="N22" s="1421" t="str">
        <f>D7</f>
        <v>2Q17</v>
      </c>
      <c r="O22" s="1421"/>
      <c r="P22" s="1421"/>
    </row>
    <row r="23" spans="1:18" ht="16.5" customHeight="1">
      <c r="A23" s="215"/>
      <c r="B23" s="136"/>
      <c r="C23" s="682" t="s">
        <v>117</v>
      </c>
      <c r="D23" s="601">
        <f>SUM(D24:D30)-D26</f>
        <v>69121.499999999985</v>
      </c>
      <c r="E23" s="929"/>
      <c r="F23" s="1015">
        <f>D23/$D$23</f>
        <v>1</v>
      </c>
      <c r="G23" s="385"/>
      <c r="H23" s="682" t="s">
        <v>124</v>
      </c>
      <c r="I23" s="601">
        <f>SUM(I24:I26)</f>
        <v>69121.600000000006</v>
      </c>
      <c r="J23" s="386"/>
      <c r="K23" s="1015">
        <f>I23/$I$23</f>
        <v>1</v>
      </c>
      <c r="L23" s="602"/>
      <c r="M23" s="682" t="s">
        <v>124</v>
      </c>
      <c r="N23" s="601">
        <f>SUM(N24:N29)</f>
        <v>49408.5</v>
      </c>
      <c r="O23" s="597"/>
      <c r="P23" s="1015">
        <f>N23/$N$23</f>
        <v>1</v>
      </c>
    </row>
    <row r="24" spans="1:18" ht="16.5" customHeight="1">
      <c r="A24" s="215"/>
      <c r="B24" s="136"/>
      <c r="C24" s="675" t="s">
        <v>118</v>
      </c>
      <c r="D24" s="1145">
        <v>0</v>
      </c>
      <c r="E24" s="925"/>
      <c r="F24" s="598">
        <f t="shared" ref="F24:F29" si="1">ROUND(D24,0)/ROUND($D$23,0)</f>
        <v>0</v>
      </c>
      <c r="G24" s="385"/>
      <c r="H24" s="675" t="s">
        <v>125</v>
      </c>
      <c r="I24" s="783">
        <v>49408.5</v>
      </c>
      <c r="J24" s="388"/>
      <c r="K24" s="598">
        <f>ROUND(I24,0)/ROUND($I$23,0)</f>
        <v>0.71480859928821505</v>
      </c>
      <c r="L24" s="602"/>
      <c r="M24" s="675" t="s">
        <v>128</v>
      </c>
      <c r="N24" s="783">
        <v>42615</v>
      </c>
      <c r="O24" s="597"/>
      <c r="P24" s="598">
        <f>ROUND(N24,0)/ROUND($N$23,0)</f>
        <v>0.86249468720273637</v>
      </c>
    </row>
    <row r="25" spans="1:18" ht="16.5" customHeight="1">
      <c r="A25" s="215"/>
      <c r="B25" s="136"/>
      <c r="C25" s="675" t="s">
        <v>119</v>
      </c>
      <c r="D25" s="783">
        <v>47744.9</v>
      </c>
      <c r="E25" s="925"/>
      <c r="F25" s="598">
        <f t="shared" si="1"/>
        <v>0.69073522178177715</v>
      </c>
      <c r="G25" s="385"/>
      <c r="H25" s="675" t="s">
        <v>126</v>
      </c>
      <c r="I25" s="783">
        <v>11249.8</v>
      </c>
      <c r="J25" s="388"/>
      <c r="K25" s="598">
        <f>ROUND(I25,0)/ROUND($I$23,0)</f>
        <v>0.162755707300136</v>
      </c>
      <c r="L25" s="602"/>
      <c r="M25" s="675" t="s">
        <v>129</v>
      </c>
      <c r="N25" s="783">
        <v>714.2</v>
      </c>
      <c r="O25" s="597"/>
      <c r="P25" s="598">
        <f>ROUND(N25,0)/ROUND($N$23,0)</f>
        <v>1.4450808557145459E-2</v>
      </c>
    </row>
    <row r="26" spans="1:18" ht="16.5" customHeight="1">
      <c r="A26" s="215"/>
      <c r="B26" s="136"/>
      <c r="C26" s="683" t="s">
        <v>355</v>
      </c>
      <c r="D26" s="783">
        <v>12871.6</v>
      </c>
      <c r="E26" s="925"/>
      <c r="F26" s="598">
        <f>ROUND(D26,0)/ROUND($D$23,0)</f>
        <v>0.18622146349932003</v>
      </c>
      <c r="G26" s="385"/>
      <c r="H26" s="675" t="s">
        <v>127</v>
      </c>
      <c r="I26" s="783">
        <v>8463.2999999999993</v>
      </c>
      <c r="J26" s="388"/>
      <c r="K26" s="598">
        <f>ROUND(I26,0)/ROUND($I$23,0)</f>
        <v>0.12243569341164896</v>
      </c>
      <c r="L26" s="602"/>
      <c r="M26" s="675" t="s">
        <v>130</v>
      </c>
      <c r="N26" s="783">
        <v>30.8</v>
      </c>
      <c r="O26" s="388"/>
      <c r="P26" s="598">
        <f>ROUND(N26,0)/ROUND($N$23,0)</f>
        <v>6.274160578032342E-4</v>
      </c>
    </row>
    <row r="27" spans="1:18" ht="16.5" customHeight="1">
      <c r="A27" s="215"/>
      <c r="B27" s="136"/>
      <c r="C27" s="675" t="s">
        <v>120</v>
      </c>
      <c r="D27" s="783">
        <v>104.7</v>
      </c>
      <c r="E27" s="925"/>
      <c r="F27" s="598">
        <f>ROUND(D27,0)/ROUND($D$23,0)</f>
        <v>1.5190532681346027E-3</v>
      </c>
      <c r="G27" s="385"/>
      <c r="H27" s="683"/>
      <c r="I27" s="609"/>
      <c r="J27" s="609"/>
      <c r="K27" s="597"/>
      <c r="L27" s="605"/>
      <c r="M27" s="675" t="s">
        <v>131</v>
      </c>
      <c r="N27" s="783">
        <v>6048.5</v>
      </c>
      <c r="O27" s="1017"/>
      <c r="P27" s="598">
        <f>ROUND(N27,0)/ROUND($N$23,0)</f>
        <v>0.12242708818231496</v>
      </c>
    </row>
    <row r="28" spans="1:18" ht="16.5" customHeight="1">
      <c r="A28" s="215"/>
      <c r="B28" s="136"/>
      <c r="C28" s="675" t="s">
        <v>121</v>
      </c>
      <c r="D28" s="783">
        <v>13547</v>
      </c>
      <c r="E28" s="925"/>
      <c r="F28" s="598">
        <f t="shared" si="1"/>
        <v>0.1959868059373282</v>
      </c>
      <c r="G28" s="385"/>
      <c r="H28" s="683"/>
      <c r="I28" s="609"/>
      <c r="J28" s="609"/>
      <c r="K28" s="597"/>
      <c r="L28" s="602"/>
      <c r="M28" s="685"/>
      <c r="N28" s="603"/>
      <c r="O28" s="603"/>
      <c r="P28" s="604"/>
    </row>
    <row r="29" spans="1:18" ht="16.5" customHeight="1">
      <c r="A29" s="215"/>
      <c r="B29" s="136"/>
      <c r="C29" s="675" t="s">
        <v>122</v>
      </c>
      <c r="D29" s="783">
        <v>7724.9</v>
      </c>
      <c r="E29" s="929"/>
      <c r="F29" s="598">
        <f t="shared" si="1"/>
        <v>0.11175891901276004</v>
      </c>
      <c r="G29" s="385"/>
      <c r="H29" s="683"/>
      <c r="I29" s="604"/>
      <c r="J29" s="604"/>
      <c r="K29" s="604"/>
      <c r="L29" s="602"/>
      <c r="M29" s="683"/>
      <c r="N29" s="597"/>
      <c r="O29" s="597"/>
      <c r="P29" s="610"/>
      <c r="R29" s="225"/>
    </row>
    <row r="30" spans="1:18" ht="16.5" customHeight="1" thickBot="1">
      <c r="A30" s="215"/>
      <c r="B30" s="125"/>
      <c r="C30" s="684"/>
      <c r="D30" s="599"/>
      <c r="E30" s="599"/>
      <c r="F30" s="600"/>
      <c r="G30" s="385"/>
      <c r="H30" s="684"/>
      <c r="I30" s="608"/>
      <c r="J30" s="608"/>
      <c r="K30" s="608"/>
      <c r="L30" s="602"/>
      <c r="M30" s="687"/>
      <c r="N30" s="608"/>
      <c r="O30" s="608"/>
      <c r="P30" s="608"/>
    </row>
    <row r="31" spans="1:18" ht="16.899999999999999" customHeight="1">
      <c r="A31" s="215"/>
      <c r="B31" s="136"/>
      <c r="D31" s="121"/>
      <c r="E31" s="121"/>
      <c r="F31" s="152"/>
      <c r="G31" s="121"/>
      <c r="H31" s="121"/>
      <c r="I31" s="214"/>
      <c r="J31" s="214"/>
      <c r="K31" s="152"/>
      <c r="L31" s="214"/>
      <c r="M31" s="214"/>
      <c r="N31" s="214"/>
      <c r="O31" s="214"/>
      <c r="P31" s="152"/>
    </row>
    <row r="32" spans="1:18" ht="18" customHeight="1">
      <c r="A32" s="215"/>
      <c r="B32" s="136"/>
      <c r="C32" s="226" t="s">
        <v>132</v>
      </c>
      <c r="D32" s="121"/>
      <c r="E32" s="121"/>
      <c r="F32" s="121"/>
      <c r="G32" s="121"/>
      <c r="H32" s="121"/>
      <c r="I32" s="214"/>
      <c r="J32" s="214"/>
      <c r="K32" s="214"/>
      <c r="L32" s="214"/>
      <c r="M32" s="214"/>
      <c r="N32" s="214"/>
      <c r="O32" s="214"/>
      <c r="P32" s="214"/>
    </row>
    <row r="33" spans="1:16" ht="15" customHeight="1">
      <c r="A33" s="141"/>
      <c r="B33" s="136"/>
      <c r="C33" s="106" t="s">
        <v>133</v>
      </c>
      <c r="D33" s="121"/>
      <c r="E33" s="121"/>
      <c r="F33" s="121"/>
      <c r="G33" s="121"/>
      <c r="H33" s="121"/>
      <c r="I33" s="214"/>
      <c r="J33" s="214"/>
      <c r="K33" s="214"/>
      <c r="L33" s="214"/>
      <c r="M33" s="214"/>
      <c r="N33" s="214"/>
      <c r="O33" s="214"/>
      <c r="P33" s="214"/>
    </row>
    <row r="34" spans="1:16" ht="15" customHeight="1">
      <c r="A34" s="227"/>
      <c r="B34" s="136"/>
      <c r="C34" s="797" t="s">
        <v>134</v>
      </c>
      <c r="D34" s="228"/>
      <c r="E34" s="228"/>
      <c r="F34" s="228"/>
      <c r="G34" s="228"/>
      <c r="H34" s="228"/>
      <c r="I34" s="229"/>
      <c r="J34" s="229"/>
      <c r="K34" s="229"/>
      <c r="L34" s="229"/>
    </row>
    <row r="35" spans="1:16" ht="18" customHeight="1">
      <c r="A35" s="227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165" customFormat="1">
      <c r="I62" s="230"/>
      <c r="J62" s="230"/>
      <c r="K62" s="230"/>
      <c r="L62" s="230"/>
      <c r="M62" s="230"/>
      <c r="N62" s="230"/>
      <c r="O62" s="230"/>
      <c r="P62" s="230"/>
    </row>
    <row r="68" spans="9:16" s="165" customFormat="1">
      <c r="I68" s="230"/>
      <c r="J68" s="230"/>
      <c r="K68" s="230"/>
      <c r="L68" s="230"/>
      <c r="M68" s="230"/>
      <c r="N68" s="230"/>
      <c r="O68" s="230"/>
      <c r="P68" s="230"/>
    </row>
    <row r="69" spans="9:16" s="165" customFormat="1">
      <c r="I69" s="230"/>
      <c r="J69" s="230"/>
      <c r="K69" s="230"/>
      <c r="L69" s="230"/>
      <c r="M69" s="230"/>
      <c r="N69" s="230"/>
      <c r="O69" s="230"/>
      <c r="P69" s="230"/>
    </row>
    <row r="85" spans="9:16" s="165" customFormat="1">
      <c r="I85" s="230"/>
      <c r="J85" s="230"/>
      <c r="K85" s="230"/>
      <c r="L85" s="230"/>
      <c r="M85" s="230"/>
      <c r="N85" s="230"/>
      <c r="O85" s="230"/>
      <c r="P85" s="230"/>
    </row>
    <row r="90" spans="9:16" s="165" customFormat="1">
      <c r="I90" s="230"/>
      <c r="J90" s="230"/>
      <c r="K90" s="230"/>
      <c r="L90" s="230"/>
      <c r="M90" s="230"/>
      <c r="N90" s="230"/>
      <c r="O90" s="230"/>
      <c r="P90" s="230"/>
    </row>
    <row r="91" spans="9:16" s="165" customFormat="1">
      <c r="I91" s="230"/>
      <c r="J91" s="230"/>
      <c r="K91" s="230"/>
      <c r="L91" s="230"/>
      <c r="M91" s="230"/>
      <c r="N91" s="230"/>
      <c r="O91" s="230"/>
      <c r="P91" s="230"/>
    </row>
  </sheetData>
  <mergeCells count="6">
    <mergeCell ref="D22:F22"/>
    <mergeCell ref="I22:K22"/>
    <mergeCell ref="N22:P22"/>
    <mergeCell ref="D7:F7"/>
    <mergeCell ref="I7:K7"/>
    <mergeCell ref="N7:P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Maturity2601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Maturity2601'!Print_Area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2017-07-25T05:35:14Z</cp:lastPrinted>
  <dcterms:created xsi:type="dcterms:W3CDTF">2013-02-08T02:37:29Z</dcterms:created>
  <dcterms:modified xsi:type="dcterms:W3CDTF">2017-07-25T08:11:33Z</dcterms:modified>
</cp:coreProperties>
</file>